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9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C58" i="1" l="1"/>
  <c r="AA58" i="1"/>
  <c r="R58" i="1"/>
  <c r="R60" i="1" s="1"/>
  <c r="Q58" i="1"/>
  <c r="L58" i="1"/>
  <c r="M56" i="1" s="1"/>
  <c r="J58" i="1"/>
  <c r="K55" i="1" s="1"/>
  <c r="F58" i="1"/>
  <c r="D58" i="1"/>
  <c r="Z57" i="1"/>
  <c r="Z58" i="1" s="1"/>
  <c r="AB56" i="1"/>
  <c r="X56" i="1"/>
  <c r="P56" i="1"/>
  <c r="N56" i="1"/>
  <c r="K56" i="1"/>
  <c r="AB55" i="1"/>
  <c r="P55" i="1"/>
  <c r="N55" i="1"/>
  <c r="M55" i="1"/>
  <c r="AB54" i="1"/>
  <c r="P54" i="1"/>
  <c r="N54" i="1"/>
  <c r="K54" i="1"/>
  <c r="AB53" i="1"/>
  <c r="X53" i="1"/>
  <c r="P53" i="1"/>
  <c r="N53" i="1"/>
  <c r="K53" i="1"/>
  <c r="E53" i="1"/>
  <c r="AB52" i="1"/>
  <c r="X52" i="1"/>
  <c r="P52" i="1"/>
  <c r="N52" i="1"/>
  <c r="M52" i="1"/>
  <c r="E52" i="1"/>
  <c r="AB51" i="1"/>
  <c r="X51" i="1"/>
  <c r="W51" i="1"/>
  <c r="P51" i="1"/>
  <c r="N51" i="1"/>
  <c r="M51" i="1"/>
  <c r="AB50" i="1"/>
  <c r="N50" i="1"/>
  <c r="M50" i="1"/>
  <c r="E50" i="1"/>
  <c r="AB49" i="1"/>
  <c r="X49" i="1"/>
  <c r="W49" i="1"/>
  <c r="P49" i="1"/>
  <c r="N49" i="1"/>
  <c r="M49" i="1"/>
  <c r="AB48" i="1"/>
  <c r="Y48" i="1"/>
  <c r="P48" i="1"/>
  <c r="N48" i="1"/>
  <c r="M48" i="1"/>
  <c r="AB47" i="1"/>
  <c r="W47" i="1"/>
  <c r="X47" i="1" s="1"/>
  <c r="P47" i="1"/>
  <c r="N47" i="1"/>
  <c r="K47" i="1"/>
  <c r="AB46" i="1"/>
  <c r="X46" i="1"/>
  <c r="W46" i="1"/>
  <c r="W58" i="1" s="1"/>
  <c r="P46" i="1"/>
  <c r="N46" i="1"/>
  <c r="M46" i="1"/>
  <c r="AB45" i="1"/>
  <c r="X45" i="1"/>
  <c r="Y45" i="1" s="1"/>
  <c r="Y58" i="1" s="1"/>
  <c r="P45" i="1"/>
  <c r="N45" i="1"/>
  <c r="K45" i="1"/>
  <c r="AB44" i="1"/>
  <c r="X44" i="1"/>
  <c r="X58" i="1" s="1"/>
  <c r="P44" i="1"/>
  <c r="N44" i="1"/>
  <c r="K44" i="1"/>
  <c r="AB43" i="1"/>
  <c r="T43" i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P43" i="1"/>
  <c r="N43" i="1"/>
  <c r="M43" i="1"/>
  <c r="K43" i="1"/>
  <c r="AB42" i="1"/>
  <c r="AB58" i="1" s="1"/>
  <c r="P42" i="1"/>
  <c r="P58" i="1" s="1"/>
  <c r="N42" i="1"/>
  <c r="N58" i="1" s="1"/>
  <c r="M42" i="1"/>
  <c r="K42" i="1"/>
  <c r="AC33" i="1"/>
  <c r="AC60" i="1" s="1"/>
  <c r="AA33" i="1"/>
  <c r="AA60" i="1" s="1"/>
  <c r="Y33" i="1"/>
  <c r="Y60" i="1" s="1"/>
  <c r="Q33" i="1"/>
  <c r="Q60" i="1" s="1"/>
  <c r="L33" i="1"/>
  <c r="M30" i="1" s="1"/>
  <c r="J33" i="1"/>
  <c r="K31" i="1" s="1"/>
  <c r="F33" i="1"/>
  <c r="F60" i="1" s="1"/>
  <c r="D33" i="1"/>
  <c r="D60" i="1" s="1"/>
  <c r="Z32" i="1"/>
  <c r="Z33" i="1" s="1"/>
  <c r="AB31" i="1"/>
  <c r="P31" i="1"/>
  <c r="N31" i="1"/>
  <c r="M31" i="1"/>
  <c r="AB30" i="1"/>
  <c r="W30" i="1"/>
  <c r="X30" i="1" s="1"/>
  <c r="P30" i="1"/>
  <c r="N30" i="1"/>
  <c r="K30" i="1"/>
  <c r="E30" i="1"/>
  <c r="AB29" i="1"/>
  <c r="W29" i="1"/>
  <c r="X29" i="1" s="1"/>
  <c r="P29" i="1"/>
  <c r="N29" i="1"/>
  <c r="K29" i="1"/>
  <c r="AB28" i="1"/>
  <c r="P28" i="1"/>
  <c r="N28" i="1"/>
  <c r="M28" i="1"/>
  <c r="AB27" i="1"/>
  <c r="X27" i="1"/>
  <c r="W27" i="1"/>
  <c r="P27" i="1"/>
  <c r="N27" i="1"/>
  <c r="K27" i="1"/>
  <c r="AB26" i="1"/>
  <c r="X26" i="1"/>
  <c r="P26" i="1"/>
  <c r="N26" i="1"/>
  <c r="K26" i="1"/>
  <c r="E26" i="1"/>
  <c r="AB25" i="1"/>
  <c r="P25" i="1"/>
  <c r="N25" i="1"/>
  <c r="K25" i="1"/>
  <c r="E25" i="1"/>
  <c r="AB24" i="1"/>
  <c r="W24" i="1"/>
  <c r="X24" i="1" s="1"/>
  <c r="P24" i="1"/>
  <c r="N24" i="1"/>
  <c r="K24" i="1"/>
  <c r="E24" i="1"/>
  <c r="AB23" i="1"/>
  <c r="P23" i="1"/>
  <c r="N23" i="1"/>
  <c r="K23" i="1"/>
  <c r="AB22" i="1"/>
  <c r="X22" i="1"/>
  <c r="P22" i="1"/>
  <c r="N22" i="1"/>
  <c r="M22" i="1"/>
  <c r="K22" i="1"/>
  <c r="AB21" i="1"/>
  <c r="P21" i="1"/>
  <c r="N21" i="1"/>
  <c r="M21" i="1"/>
  <c r="K21" i="1"/>
  <c r="E21" i="1"/>
  <c r="AB20" i="1"/>
  <c r="P20" i="1"/>
  <c r="N20" i="1"/>
  <c r="M20" i="1"/>
  <c r="K20" i="1"/>
  <c r="E20" i="1"/>
  <c r="AB19" i="1"/>
  <c r="P19" i="1"/>
  <c r="N19" i="1"/>
  <c r="M19" i="1"/>
  <c r="K19" i="1"/>
  <c r="AB18" i="1"/>
  <c r="P18" i="1"/>
  <c r="N18" i="1"/>
  <c r="M18" i="1"/>
  <c r="K18" i="1"/>
  <c r="AB17" i="1"/>
  <c r="X17" i="1"/>
  <c r="W17" i="1"/>
  <c r="P17" i="1"/>
  <c r="N17" i="1"/>
  <c r="M17" i="1"/>
  <c r="K17" i="1"/>
  <c r="E17" i="1"/>
  <c r="AB16" i="1"/>
  <c r="X16" i="1"/>
  <c r="P16" i="1"/>
  <c r="N16" i="1"/>
  <c r="M16" i="1"/>
  <c r="K16" i="1"/>
  <c r="AB15" i="1"/>
  <c r="X15" i="1"/>
  <c r="P15" i="1"/>
  <c r="N15" i="1"/>
  <c r="M15" i="1"/>
  <c r="K15" i="1"/>
  <c r="AB14" i="1"/>
  <c r="P14" i="1"/>
  <c r="N14" i="1"/>
  <c r="M14" i="1"/>
  <c r="K14" i="1"/>
  <c r="E14" i="1"/>
  <c r="AB13" i="1"/>
  <c r="X13" i="1"/>
  <c r="W13" i="1"/>
  <c r="P13" i="1"/>
  <c r="N13" i="1"/>
  <c r="M13" i="1"/>
  <c r="K13" i="1"/>
  <c r="E13" i="1"/>
  <c r="AB12" i="1"/>
  <c r="X12" i="1"/>
  <c r="W12" i="1"/>
  <c r="P12" i="1"/>
  <c r="N12" i="1"/>
  <c r="M12" i="1"/>
  <c r="K12" i="1"/>
  <c r="E12" i="1"/>
  <c r="AB11" i="1"/>
  <c r="X11" i="1"/>
  <c r="W11" i="1" s="1"/>
  <c r="P11" i="1"/>
  <c r="N11" i="1"/>
  <c r="M11" i="1"/>
  <c r="K11" i="1"/>
  <c r="E11" i="1"/>
  <c r="AB10" i="1"/>
  <c r="P10" i="1"/>
  <c r="N10" i="1"/>
  <c r="M10" i="1"/>
  <c r="K10" i="1"/>
  <c r="E10" i="1"/>
  <c r="AB9" i="1"/>
  <c r="X9" i="1"/>
  <c r="P9" i="1"/>
  <c r="N9" i="1"/>
  <c r="M9" i="1"/>
  <c r="K9" i="1"/>
  <c r="E9" i="1"/>
  <c r="AB8" i="1"/>
  <c r="X8" i="1"/>
  <c r="T8" i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P8" i="1"/>
  <c r="N8" i="1"/>
  <c r="M8" i="1"/>
  <c r="K8" i="1"/>
  <c r="E8" i="1"/>
  <c r="AB7" i="1"/>
  <c r="AB33" i="1" s="1"/>
  <c r="AB60" i="1" s="1"/>
  <c r="X7" i="1"/>
  <c r="X33" i="1" s="1"/>
  <c r="W7" i="1"/>
  <c r="W33" i="1" s="1"/>
  <c r="W60" i="1" s="1"/>
  <c r="P7" i="1"/>
  <c r="P33" i="1" s="1"/>
  <c r="P60" i="1" s="1"/>
  <c r="N7" i="1"/>
  <c r="N33" i="1" s="1"/>
  <c r="N60" i="1" s="1"/>
  <c r="M7" i="1"/>
  <c r="K7" i="1"/>
  <c r="O8" i="1" l="1"/>
  <c r="O12" i="1"/>
  <c r="O14" i="1"/>
  <c r="O25" i="1"/>
  <c r="Z60" i="1"/>
  <c r="O11" i="1"/>
  <c r="X60" i="1"/>
  <c r="O21" i="1"/>
  <c r="O30" i="1"/>
  <c r="E33" i="1"/>
  <c r="E58" i="1"/>
  <c r="M25" i="1"/>
  <c r="M26" i="1"/>
  <c r="M27" i="1"/>
  <c r="K28" i="1"/>
  <c r="K33" i="1" s="1"/>
  <c r="M29" i="1"/>
  <c r="M47" i="1"/>
  <c r="K48" i="1"/>
  <c r="K49" i="1"/>
  <c r="K51" i="1"/>
  <c r="M53" i="1"/>
  <c r="M54" i="1"/>
  <c r="J60" i="1"/>
  <c r="L60" i="1"/>
  <c r="M23" i="1"/>
  <c r="M33" i="1" s="1"/>
  <c r="M60" i="1" s="1"/>
  <c r="M24" i="1"/>
  <c r="M44" i="1"/>
  <c r="M58" i="1" s="1"/>
  <c r="M45" i="1"/>
  <c r="K46" i="1"/>
  <c r="K58" i="1" s="1"/>
  <c r="K50" i="1"/>
  <c r="K52" i="1"/>
  <c r="O54" i="1" l="1"/>
  <c r="O47" i="1"/>
  <c r="O55" i="1"/>
  <c r="O46" i="1"/>
  <c r="O43" i="1"/>
  <c r="O56" i="1"/>
  <c r="O45" i="1"/>
  <c r="O44" i="1"/>
  <c r="O51" i="1"/>
  <c r="O49" i="1"/>
  <c r="O48" i="1"/>
  <c r="O42" i="1"/>
  <c r="E60" i="1"/>
  <c r="O29" i="1"/>
  <c r="O27" i="1"/>
  <c r="O18" i="1"/>
  <c r="O31" i="1"/>
  <c r="O19" i="1"/>
  <c r="O23" i="1"/>
  <c r="O22" i="1"/>
  <c r="O16" i="1"/>
  <c r="O15" i="1"/>
  <c r="O7" i="1"/>
  <c r="O28" i="1"/>
  <c r="O24" i="1"/>
  <c r="O53" i="1"/>
  <c r="O20" i="1"/>
  <c r="O9" i="1"/>
  <c r="O52" i="1"/>
  <c r="O50" i="1"/>
  <c r="O17" i="1"/>
  <c r="O26" i="1"/>
  <c r="O13" i="1"/>
  <c r="O10" i="1"/>
  <c r="O58" i="1" l="1"/>
  <c r="O33" i="1"/>
  <c r="O60" i="1" s="1"/>
</calcChain>
</file>

<file path=xl/sharedStrings.xml><?xml version="1.0" encoding="utf-8"?>
<sst xmlns="http://schemas.openxmlformats.org/spreadsheetml/2006/main" count="304" uniqueCount="147">
  <si>
    <t>Collective Investment Schemes</t>
  </si>
  <si>
    <t xml:space="preserve">Amount  </t>
  </si>
  <si>
    <t xml:space="preserve">Share of Total </t>
  </si>
  <si>
    <t xml:space="preserve">Total amount </t>
  </si>
  <si>
    <t xml:space="preserve">Share of </t>
  </si>
  <si>
    <t xml:space="preserve">Net </t>
  </si>
  <si>
    <t xml:space="preserve">Annualized </t>
  </si>
  <si>
    <t>Portfolio Allocation</t>
  </si>
  <si>
    <t xml:space="preserve">Cost  </t>
  </si>
  <si>
    <t>MUTUAL FUND</t>
  </si>
  <si>
    <t>MANAGER OF SCHEME</t>
  </si>
  <si>
    <t>NET ASSETS VALUE</t>
  </si>
  <si>
    <t xml:space="preserve">NO.OF </t>
  </si>
  <si>
    <t>SCHEME PERFORMANCE</t>
  </si>
  <si>
    <t xml:space="preserve"> Mobilized in</t>
  </si>
  <si>
    <t xml:space="preserve">Amount </t>
  </si>
  <si>
    <t>of</t>
  </si>
  <si>
    <t>total amount</t>
  </si>
  <si>
    <t>Subcription/</t>
  </si>
  <si>
    <t xml:space="preserve">Customer </t>
  </si>
  <si>
    <t>Total Asset</t>
  </si>
  <si>
    <t>Annualized</t>
  </si>
  <si>
    <t>Yield</t>
  </si>
  <si>
    <t xml:space="preserve">Effeciency </t>
  </si>
  <si>
    <t>Unit Price</t>
  </si>
  <si>
    <t>SHAREHOLDERS</t>
  </si>
  <si>
    <t>Annual Yield % (2015)</t>
  </si>
  <si>
    <t>Mobilized (%)</t>
  </si>
  <si>
    <t>Redemption</t>
  </si>
  <si>
    <t>redeemed(%)</t>
  </si>
  <si>
    <t>base(%)</t>
  </si>
  <si>
    <t>Value(%)</t>
  </si>
  <si>
    <t>Yield 2015(%)</t>
  </si>
  <si>
    <t>2014 (2014)</t>
  </si>
  <si>
    <t>Type of  Scheme</t>
  </si>
  <si>
    <t>Capital Market(%)</t>
  </si>
  <si>
    <t>Money Market(%)</t>
  </si>
  <si>
    <t>Others</t>
  </si>
  <si>
    <t>Net Asset Value</t>
  </si>
  <si>
    <t>Annual Running Cost</t>
  </si>
  <si>
    <t>Ratio</t>
  </si>
  <si>
    <t>2015(GH)</t>
  </si>
  <si>
    <t>All-time Bond Fund</t>
  </si>
  <si>
    <t>All Time Capital ltd</t>
  </si>
  <si>
    <t>Equity Fund</t>
  </si>
  <si>
    <t>Anidaso Mutual Fund</t>
  </si>
  <si>
    <t>New Generation Investments Serv ltd</t>
  </si>
  <si>
    <t>Christian Community Mutual Fund</t>
  </si>
  <si>
    <t>Black Star Advisors</t>
  </si>
  <si>
    <t>Balanced Fund</t>
  </si>
  <si>
    <t>CM Fund</t>
  </si>
  <si>
    <t>SCD Brokerage ltd</t>
  </si>
  <si>
    <t>Databank ARKFUND</t>
  </si>
  <si>
    <t>Databank Assets Mgt</t>
  </si>
  <si>
    <t>Databank Balance Fund</t>
  </si>
  <si>
    <t>Databank Educational Fund</t>
  </si>
  <si>
    <t>Balanced/multi tied</t>
  </si>
  <si>
    <t>Databank Money Market Fund</t>
  </si>
  <si>
    <t>Money Market Fund</t>
  </si>
  <si>
    <t>EDC Ghana Balanced Fund</t>
  </si>
  <si>
    <t>EDC Investment Ltd</t>
  </si>
  <si>
    <t xml:space="preserve">EDC Kiddi Fund </t>
  </si>
  <si>
    <t>EDC Kiddi Fund Mutual Fund</t>
  </si>
  <si>
    <t>Epack Investment Fund</t>
  </si>
  <si>
    <t>First Fund Limited</t>
  </si>
  <si>
    <t>FirstBank Financial Serv.</t>
  </si>
  <si>
    <t>First Fund</t>
  </si>
  <si>
    <t>FirstBanC Heritage Fund Limted</t>
  </si>
  <si>
    <t xml:space="preserve">FirstBanC Heritage Fund </t>
  </si>
  <si>
    <t>Gold Money Market Fund</t>
  </si>
  <si>
    <t>Gold Coast Fund Management ltd</t>
  </si>
  <si>
    <t>Merban fund ltd</t>
  </si>
  <si>
    <t>UMB Investment Holding ltd</t>
  </si>
  <si>
    <t xml:space="preserve">Merban Fund </t>
  </si>
  <si>
    <t>Nordea Income Growth Fund</t>
  </si>
  <si>
    <t xml:space="preserve">Nordea Income Growth Fund </t>
  </si>
  <si>
    <t>NTHC Horizon Fund</t>
  </si>
  <si>
    <t>NTH ltd</t>
  </si>
  <si>
    <t>Omega Equity Fund</t>
  </si>
  <si>
    <t>Omega Capital ltd</t>
  </si>
  <si>
    <t>Omega Income Fund</t>
  </si>
  <si>
    <t>SAS Fortune Funds</t>
  </si>
  <si>
    <t>Strategic African Securities ltd</t>
  </si>
  <si>
    <t>SEM All African Equity Fund</t>
  </si>
  <si>
    <t>SEM Income Fund Limited</t>
  </si>
  <si>
    <t>SEM Income Fund</t>
  </si>
  <si>
    <t>SEM Money Plus Fund</t>
  </si>
  <si>
    <t>Sirus Opportunity Fund</t>
  </si>
  <si>
    <t>Sirus Capital ltd</t>
  </si>
  <si>
    <t>Western Oil and Gas</t>
  </si>
  <si>
    <t>Oil and Gas</t>
  </si>
  <si>
    <t>TOTAL</t>
  </si>
  <si>
    <t>Other is made up of</t>
  </si>
  <si>
    <t xml:space="preserve">             Portfolio Allocation</t>
  </si>
  <si>
    <t>UNIT TRUST</t>
  </si>
  <si>
    <t>Annual Yield %(2015)</t>
  </si>
  <si>
    <t>Amount</t>
  </si>
  <si>
    <t>Total amount of</t>
  </si>
  <si>
    <t>Share of Total</t>
  </si>
  <si>
    <t>Net Subcription/</t>
  </si>
  <si>
    <t>Customer base</t>
  </si>
  <si>
    <t xml:space="preserve">Cost Effeciency </t>
  </si>
  <si>
    <t xml:space="preserve"> Mobilized in 2014</t>
  </si>
  <si>
    <t>Amount Mobilized (%)</t>
  </si>
  <si>
    <t>Amount Redeemed(%)</t>
  </si>
  <si>
    <t>(%)</t>
  </si>
  <si>
    <t xml:space="preserve"> Value(%)</t>
  </si>
  <si>
    <t>EDC Ghana Fixed Income</t>
  </si>
  <si>
    <t>EDC Ghana Fixed Income Trust</t>
  </si>
  <si>
    <t>EDC Investment</t>
  </si>
  <si>
    <t>EM Balanced  Unit Trust</t>
  </si>
  <si>
    <t>EM Capital Partners limited</t>
  </si>
  <si>
    <t>EM Capital Partners</t>
  </si>
  <si>
    <t xml:space="preserve">Freedom Funds </t>
  </si>
  <si>
    <t>Liberty Capital Gh.ltd</t>
  </si>
  <si>
    <t>Freedom Funds Unit Trust</t>
  </si>
  <si>
    <t>Gold Fnd Unit Trust</t>
  </si>
  <si>
    <t>Gold Coast Funds Mgmt</t>
  </si>
  <si>
    <t>Gold Coast Securities ltd</t>
  </si>
  <si>
    <t>HFC Equity Trust</t>
  </si>
  <si>
    <t>HFC Investments Serv. Ltd</t>
  </si>
  <si>
    <t>HFC Future Plan Trust</t>
  </si>
  <si>
    <t>HFC REIT</t>
  </si>
  <si>
    <t>Real Estate Fund</t>
  </si>
  <si>
    <t>HFC Unit Trust</t>
  </si>
  <si>
    <t>MET Wealth Unit Trust</t>
  </si>
  <si>
    <t>MET Capital Group</t>
  </si>
  <si>
    <t>Legacy Unit Trust</t>
  </si>
  <si>
    <t>IFC Capital Management ltd</t>
  </si>
  <si>
    <t>MC Ottley Unit Trust</t>
  </si>
  <si>
    <t>McOttley Capital Limited</t>
  </si>
  <si>
    <t>Mc Ottley Unit Trust</t>
  </si>
  <si>
    <t>Ottley Unit Trust</t>
  </si>
  <si>
    <t>MyWealth unit Trust</t>
  </si>
  <si>
    <t>Richie Rich Unit Trust</t>
  </si>
  <si>
    <t>Stanbic Cash Trust (SCT)</t>
  </si>
  <si>
    <t>Stambic Investment Managt. Serv. Ltd</t>
  </si>
  <si>
    <t>Stanbic Cash Trust (CIS)</t>
  </si>
  <si>
    <t>Stanbic Income Fund Trust (SIFT)</t>
  </si>
  <si>
    <t>GRAND TOTAL</t>
  </si>
  <si>
    <t>GRAND TOTAL/AVERAGE</t>
  </si>
  <si>
    <t>1.1  Shareholding of Collective Investment Scheme</t>
  </si>
  <si>
    <t>1.2  Performance of Collective Investment Scheme (Mutual Funds) 2015</t>
  </si>
  <si>
    <t xml:space="preserve"> 1.4 Performance of Collective Investment Scheme (Unit Trust) 2015</t>
  </si>
  <si>
    <t>1.6 Performance of Collective Investment Scheme (Unit Trust) 2015</t>
  </si>
  <si>
    <t xml:space="preserve"> 1.5 Performance of Collective Investment Scheme (Unit Trust) 2015</t>
  </si>
  <si>
    <t>1.3 Performance of Collective Investment Scheme(Mutual Fund)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</si>
</sst>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_(* #,##0.000_);_(* \(#,##0.000\);_(* &quot;-&quot;???_);_(@_)"/>
    <numFmt numFmtId="166" formatCode="#,##0.0_);\(#,##0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2" fillId="0" borderId="1" xfId="0" applyFont="1" applyBorder="1"/>
    <xf numFmtId="0" fontId="6" fillId="0" borderId="2" xfId="0" applyFont="1" applyBorder="1"/>
    <xf numFmtId="0" fontId="4" fillId="0" borderId="2" xfId="0" applyFont="1" applyBorder="1"/>
    <xf numFmtId="0" fontId="5" fillId="0" borderId="3" xfId="0" applyFont="1" applyBorder="1" applyAlignment="1">
      <alignment horizontal="right"/>
    </xf>
    <xf numFmtId="0" fontId="6" fillId="0" borderId="4" xfId="0" applyFont="1" applyBorder="1"/>
    <xf numFmtId="0" fontId="5" fillId="0" borderId="5" xfId="0" applyFont="1" applyBorder="1"/>
    <xf numFmtId="0" fontId="5" fillId="0" borderId="5" xfId="0" applyFont="1" applyFill="1" applyBorder="1"/>
    <xf numFmtId="0" fontId="5" fillId="0" borderId="6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7" xfId="0" applyFont="1" applyBorder="1"/>
    <xf numFmtId="0" fontId="6" fillId="0" borderId="8" xfId="0" applyFont="1" applyBorder="1"/>
    <xf numFmtId="0" fontId="5" fillId="0" borderId="9" xfId="0" applyFont="1" applyBorder="1"/>
    <xf numFmtId="0" fontId="5" fillId="0" borderId="8" xfId="0" applyFont="1" applyBorder="1"/>
    <xf numFmtId="0" fontId="6" fillId="0" borderId="0" xfId="0" applyFont="1" applyAlignment="1">
      <alignment horizontal="right"/>
    </xf>
    <xf numFmtId="43" fontId="6" fillId="0" borderId="1" xfId="1" applyFont="1" applyBorder="1"/>
    <xf numFmtId="43" fontId="2" fillId="0" borderId="1" xfId="1" applyFont="1" applyBorder="1"/>
    <xf numFmtId="43" fontId="6" fillId="0" borderId="1" xfId="1" applyFont="1" applyBorder="1" applyAlignment="1">
      <alignment horizontal="left"/>
    </xf>
    <xf numFmtId="2" fontId="6" fillId="0" borderId="1" xfId="0" applyNumberFormat="1" applyFont="1" applyBorder="1"/>
    <xf numFmtId="43" fontId="5" fillId="0" borderId="1" xfId="1" applyFont="1" applyBorder="1"/>
    <xf numFmtId="43" fontId="6" fillId="0" borderId="1" xfId="0" applyNumberFormat="1" applyFont="1" applyBorder="1"/>
    <xf numFmtId="0" fontId="6" fillId="0" borderId="1" xfId="0" applyFont="1" applyFill="1" applyBorder="1"/>
    <xf numFmtId="43" fontId="5" fillId="0" borderId="1" xfId="1" applyFont="1" applyFill="1" applyBorder="1"/>
    <xf numFmtId="43" fontId="6" fillId="0" borderId="1" xfId="1" applyFont="1" applyFill="1" applyBorder="1"/>
    <xf numFmtId="0" fontId="6" fillId="2" borderId="1" xfId="0" applyFont="1" applyFill="1" applyBorder="1"/>
    <xf numFmtId="164" fontId="6" fillId="2" borderId="1" xfId="0" applyNumberFormat="1" applyFont="1" applyFill="1" applyBorder="1"/>
    <xf numFmtId="0" fontId="2" fillId="0" borderId="0" xfId="0" applyFont="1" applyFill="1"/>
    <xf numFmtId="0" fontId="5" fillId="0" borderId="0" xfId="0" applyFont="1" applyFill="1" applyBorder="1"/>
    <xf numFmtId="0" fontId="2" fillId="0" borderId="0" xfId="0" applyFont="1" applyBorder="1"/>
    <xf numFmtId="0" fontId="6" fillId="0" borderId="0" xfId="0" applyFont="1" applyBorder="1"/>
    <xf numFmtId="0" fontId="6" fillId="2" borderId="0" xfId="0" applyFont="1" applyFill="1" applyBorder="1"/>
    <xf numFmtId="0" fontId="6" fillId="0" borderId="1" xfId="0" applyFont="1" applyBorder="1" applyAlignment="1">
      <alignment horizontal="right"/>
    </xf>
    <xf numFmtId="164" fontId="6" fillId="0" borderId="1" xfId="0" applyNumberFormat="1" applyFont="1" applyFill="1" applyBorder="1"/>
    <xf numFmtId="2" fontId="6" fillId="0" borderId="1" xfId="0" applyNumberFormat="1" applyFont="1" applyFill="1" applyBorder="1"/>
    <xf numFmtId="43" fontId="6" fillId="0" borderId="1" xfId="0" applyNumberFormat="1" applyFont="1" applyFill="1" applyBorder="1"/>
    <xf numFmtId="0" fontId="6" fillId="0" borderId="0" xfId="0" applyFont="1" applyBorder="1" applyAlignment="1">
      <alignment horizontal="right"/>
    </xf>
    <xf numFmtId="43" fontId="6" fillId="2" borderId="1" xfId="1" applyFont="1" applyFill="1" applyBorder="1"/>
    <xf numFmtId="2" fontId="6" fillId="2" borderId="1" xfId="0" applyNumberFormat="1" applyFont="1" applyFill="1" applyBorder="1"/>
    <xf numFmtId="43" fontId="6" fillId="0" borderId="1" xfId="1" applyFont="1" applyFill="1" applyBorder="1" applyAlignment="1">
      <alignment horizontal="right"/>
    </xf>
    <xf numFmtId="43" fontId="6" fillId="0" borderId="1" xfId="1" applyFont="1" applyBorder="1" applyAlignment="1">
      <alignment horizontal="right"/>
    </xf>
    <xf numFmtId="2" fontId="5" fillId="0" borderId="1" xfId="0" applyNumberFormat="1" applyFont="1" applyBorder="1"/>
    <xf numFmtId="0" fontId="6" fillId="0" borderId="8" xfId="0" applyFont="1" applyFill="1" applyBorder="1"/>
    <xf numFmtId="43" fontId="6" fillId="0" borderId="0" xfId="1" applyFont="1" applyBorder="1" applyAlignment="1">
      <alignment horizontal="right"/>
    </xf>
    <xf numFmtId="0" fontId="2" fillId="0" borderId="0" xfId="0" applyFont="1" applyAlignment="1">
      <alignment horizontal="right"/>
    </xf>
    <xf numFmtId="43" fontId="6" fillId="0" borderId="2" xfId="1" applyFont="1" applyFill="1" applyBorder="1"/>
    <xf numFmtId="43" fontId="6" fillId="0" borderId="5" xfId="1" applyFont="1" applyFill="1" applyBorder="1"/>
    <xf numFmtId="0" fontId="6" fillId="0" borderId="9" xfId="0" applyFont="1" applyBorder="1"/>
    <xf numFmtId="43" fontId="6" fillId="0" borderId="8" xfId="1" applyFont="1" applyFill="1" applyBorder="1"/>
    <xf numFmtId="164" fontId="6" fillId="0" borderId="10" xfId="0" applyNumberFormat="1" applyFont="1" applyFill="1" applyBorder="1"/>
    <xf numFmtId="0" fontId="5" fillId="0" borderId="2" xfId="0" applyFont="1" applyBorder="1"/>
    <xf numFmtId="43" fontId="6" fillId="0" borderId="11" xfId="0" applyNumberFormat="1" applyFont="1" applyBorder="1"/>
    <xf numFmtId="43" fontId="5" fillId="0" borderId="11" xfId="1" applyFont="1" applyBorder="1"/>
    <xf numFmtId="43" fontId="5" fillId="0" borderId="11" xfId="0" applyNumberFormat="1" applyFont="1" applyBorder="1"/>
    <xf numFmtId="0" fontId="6" fillId="0" borderId="12" xfId="0" applyFont="1" applyBorder="1"/>
    <xf numFmtId="0" fontId="5" fillId="0" borderId="13" xfId="0" applyFont="1" applyBorder="1"/>
    <xf numFmtId="0" fontId="6" fillId="0" borderId="13" xfId="0" applyFont="1" applyFill="1" applyBorder="1"/>
    <xf numFmtId="43" fontId="5" fillId="0" borderId="13" xfId="1" applyFont="1" applyBorder="1"/>
    <xf numFmtId="43" fontId="6" fillId="0" borderId="13" xfId="1" applyFont="1" applyBorder="1"/>
    <xf numFmtId="43" fontId="6" fillId="0" borderId="14" xfId="1" applyFont="1" applyBorder="1"/>
    <xf numFmtId="43" fontId="2" fillId="0" borderId="0" xfId="0" applyNumberFormat="1" applyFont="1"/>
    <xf numFmtId="43" fontId="6" fillId="0" borderId="0" xfId="1" applyFont="1" applyFill="1" applyBorder="1"/>
    <xf numFmtId="0" fontId="6" fillId="0" borderId="0" xfId="0" applyFont="1" applyFill="1" applyBorder="1"/>
    <xf numFmtId="0" fontId="4" fillId="0" borderId="0" xfId="0" applyFont="1" applyBorder="1"/>
    <xf numFmtId="43" fontId="2" fillId="0" borderId="0" xfId="1" applyFont="1"/>
    <xf numFmtId="43" fontId="2" fillId="0" borderId="0" xfId="0" applyNumberFormat="1" applyFont="1" applyBorder="1"/>
    <xf numFmtId="0" fontId="2" fillId="0" borderId="15" xfId="0" applyFont="1" applyBorder="1"/>
    <xf numFmtId="0" fontId="6" fillId="0" borderId="16" xfId="0" applyFont="1" applyBorder="1" applyAlignment="1">
      <alignment horizontal="right"/>
    </xf>
    <xf numFmtId="0" fontId="6" fillId="0" borderId="17" xfId="0" applyFont="1" applyBorder="1"/>
    <xf numFmtId="0" fontId="6" fillId="0" borderId="18" xfId="0" applyFont="1" applyBorder="1"/>
    <xf numFmtId="0" fontId="5" fillId="0" borderId="19" xfId="0" applyFont="1" applyBorder="1"/>
    <xf numFmtId="0" fontId="5" fillId="0" borderId="4" xfId="0" applyFont="1" applyBorder="1"/>
    <xf numFmtId="0" fontId="7" fillId="0" borderId="1" xfId="0" applyFont="1" applyBorder="1"/>
    <xf numFmtId="0" fontId="6" fillId="0" borderId="4" xfId="0" applyFont="1" applyFill="1" applyBorder="1"/>
    <xf numFmtId="165" fontId="6" fillId="2" borderId="1" xfId="1" applyNumberFormat="1" applyFont="1" applyFill="1" applyBorder="1"/>
    <xf numFmtId="43" fontId="2" fillId="0" borderId="1" xfId="1" applyFont="1" applyFill="1" applyBorder="1"/>
    <xf numFmtId="0" fontId="5" fillId="0" borderId="0" xfId="0" applyFont="1" applyBorder="1"/>
    <xf numFmtId="0" fontId="6" fillId="0" borderId="1" xfId="0" applyFont="1" applyFill="1" applyBorder="1" applyAlignment="1">
      <alignment horizontal="right"/>
    </xf>
    <xf numFmtId="165" fontId="6" fillId="0" borderId="1" xfId="1" applyNumberFormat="1" applyFont="1" applyBorder="1"/>
    <xf numFmtId="0" fontId="6" fillId="0" borderId="20" xfId="0" applyFont="1" applyBorder="1"/>
    <xf numFmtId="0" fontId="6" fillId="0" borderId="5" xfId="0" applyFont="1" applyFill="1" applyBorder="1"/>
    <xf numFmtId="43" fontId="6" fillId="0" borderId="5" xfId="0" applyNumberFormat="1" applyFont="1" applyFill="1" applyBorder="1"/>
    <xf numFmtId="43" fontId="6" fillId="0" borderId="5" xfId="1" applyFont="1" applyBorder="1"/>
    <xf numFmtId="0" fontId="6" fillId="0" borderId="21" xfId="0" applyFont="1" applyBorder="1"/>
    <xf numFmtId="0" fontId="6" fillId="0" borderId="5" xfId="0" applyFont="1" applyBorder="1"/>
    <xf numFmtId="165" fontId="6" fillId="0" borderId="5" xfId="1" applyNumberFormat="1" applyFont="1" applyBorder="1"/>
    <xf numFmtId="43" fontId="5" fillId="0" borderId="1" xfId="0" applyNumberFormat="1" applyFont="1" applyBorder="1"/>
    <xf numFmtId="43" fontId="6" fillId="0" borderId="5" xfId="0" applyNumberFormat="1" applyFont="1" applyBorder="1"/>
    <xf numFmtId="43" fontId="6" fillId="0" borderId="5" xfId="1" applyFont="1" applyFill="1" applyBorder="1" applyAlignment="1">
      <alignment horizontal="center"/>
    </xf>
    <xf numFmtId="43" fontId="5" fillId="0" borderId="5" xfId="1" applyFont="1" applyBorder="1"/>
    <xf numFmtId="0" fontId="2" fillId="0" borderId="0" xfId="0" applyFont="1" applyFill="1" applyBorder="1"/>
    <xf numFmtId="0" fontId="4" fillId="0" borderId="0" xfId="0" applyFont="1" applyFill="1" applyBorder="1"/>
    <xf numFmtId="43" fontId="2" fillId="0" borderId="0" xfId="1" applyFont="1" applyFill="1" applyBorder="1"/>
    <xf numFmtId="3" fontId="2" fillId="0" borderId="0" xfId="0" applyNumberFormat="1" applyFont="1"/>
    <xf numFmtId="43" fontId="2" fillId="0" borderId="0" xfId="0" applyNumberFormat="1" applyFont="1" applyFill="1" applyBorder="1"/>
    <xf numFmtId="0" fontId="2" fillId="0" borderId="0" xfId="0" applyFont="1" applyBorder="1" applyAlignment="1">
      <alignment horizontal="right"/>
    </xf>
    <xf numFmtId="166" fontId="2" fillId="0" borderId="0" xfId="0" applyNumberFormat="1" applyFont="1" applyFill="1" applyBorder="1"/>
    <xf numFmtId="43" fontId="2" fillId="0" borderId="0" xfId="1" applyFont="1" applyBorder="1"/>
    <xf numFmtId="43" fontId="4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2"/>
  <sheetViews>
    <sheetView tabSelected="1" workbookViewId="0">
      <selection activeCell="U5" sqref="U5"/>
    </sheetView>
  </sheetViews>
  <sheetFormatPr defaultRowHeight="15" x14ac:dyDescent="0.25"/>
  <cols>
    <col min="1" max="1" width="4.28515625" style="1" customWidth="1"/>
    <col min="2" max="2" width="27" style="1" bestFit="1" customWidth="1"/>
    <col min="3" max="3" width="24.7109375" style="1" customWidth="1"/>
    <col min="4" max="4" width="17.28515625" style="1" customWidth="1"/>
    <col min="5" max="5" width="14.28515625" style="1" customWidth="1"/>
    <col min="6" max="6" width="24.5703125" style="1" customWidth="1"/>
    <col min="7" max="7" width="7.5703125" style="1" customWidth="1"/>
    <col min="8" max="8" width="4" style="1" hidden="1" customWidth="1"/>
    <col min="9" max="9" width="22.85546875" style="1" customWidth="1"/>
    <col min="10" max="10" width="16.7109375" style="1" customWidth="1"/>
    <col min="11" max="11" width="19.140625" style="1" customWidth="1"/>
    <col min="12" max="12" width="17.28515625" style="1" customWidth="1"/>
    <col min="13" max="13" width="19.28515625" style="1" customWidth="1"/>
    <col min="14" max="14" width="15.5703125" style="1" customWidth="1"/>
    <col min="15" max="15" width="14.42578125" style="1" customWidth="1"/>
    <col min="16" max="16" width="12" style="1" customWidth="1"/>
    <col min="17" max="17" width="12.140625" style="1" customWidth="1"/>
    <col min="18" max="18" width="10.5703125" style="1" customWidth="1"/>
    <col min="19" max="19" width="1.5703125" style="1" customWidth="1"/>
    <col min="20" max="20" width="3" style="1" customWidth="1"/>
    <col min="21" max="21" width="23.28515625" style="1" customWidth="1"/>
    <col min="22" max="22" width="14.42578125" style="1" customWidth="1"/>
    <col min="23" max="23" width="12.42578125" style="1" customWidth="1"/>
    <col min="24" max="24" width="11.28515625" style="1" customWidth="1"/>
    <col min="25" max="25" width="7.140625" style="1" bestFit="1" customWidth="1"/>
    <col min="26" max="26" width="15.5703125" style="1" customWidth="1"/>
    <col min="27" max="27" width="14.7109375" style="1" customWidth="1"/>
    <col min="28" max="28" width="9.7109375" style="1" customWidth="1"/>
    <col min="29" max="29" width="8.5703125" style="1" customWidth="1"/>
    <col min="30" max="30" width="9.140625" style="1"/>
    <col min="31" max="31" width="12.42578125" style="1" customWidth="1"/>
    <col min="32" max="32" width="5.5703125" style="1" customWidth="1"/>
    <col min="33" max="33" width="23.85546875" style="1" customWidth="1"/>
    <col min="34" max="34" width="15" style="1" customWidth="1"/>
    <col min="35" max="35" width="13.7109375" style="1" customWidth="1"/>
    <col min="36" max="36" width="15" style="1" customWidth="1"/>
    <col min="37" max="37" width="15.7109375" style="1" customWidth="1"/>
    <col min="38" max="16384" width="9.140625" style="1"/>
  </cols>
  <sheetData>
    <row r="1" spans="1:40" ht="18.75" x14ac:dyDescent="0.3">
      <c r="B1" s="2"/>
      <c r="C1" s="2"/>
      <c r="D1" s="3"/>
    </row>
    <row r="2" spans="1:40" ht="18.75" x14ac:dyDescent="0.3">
      <c r="B2" s="2"/>
      <c r="C2" s="2"/>
      <c r="D2" s="3"/>
      <c r="I2" s="2" t="s">
        <v>142</v>
      </c>
      <c r="J2" s="2"/>
      <c r="K2" s="3"/>
      <c r="L2" s="3"/>
      <c r="M2" s="3"/>
      <c r="N2" s="3"/>
      <c r="U2" s="2" t="s">
        <v>146</v>
      </c>
      <c r="V2" s="2"/>
      <c r="W2" s="3"/>
      <c r="X2" s="3"/>
      <c r="Y2" s="3"/>
      <c r="Z2" s="3"/>
    </row>
    <row r="3" spans="1:40" ht="18.75" x14ac:dyDescent="0.3">
      <c r="B3" s="2" t="s">
        <v>141</v>
      </c>
      <c r="C3" s="2"/>
      <c r="D3" s="3"/>
      <c r="H3" s="4" t="s">
        <v>0</v>
      </c>
      <c r="I3" s="5"/>
      <c r="J3" s="5"/>
      <c r="K3" s="5"/>
      <c r="L3" s="5"/>
      <c r="M3" s="5"/>
      <c r="N3" s="5"/>
      <c r="O3" s="5"/>
      <c r="P3" s="5"/>
      <c r="Q3" s="5"/>
      <c r="R3" s="5"/>
    </row>
    <row r="4" spans="1:40" x14ac:dyDescent="0.25">
      <c r="B4" s="4" t="s">
        <v>0</v>
      </c>
      <c r="C4" s="5"/>
      <c r="D4" s="5"/>
      <c r="E4" s="5"/>
      <c r="F4" s="5"/>
      <c r="H4" s="6"/>
      <c r="I4" s="6"/>
      <c r="J4" s="7" t="s">
        <v>1</v>
      </c>
      <c r="K4" s="7" t="s">
        <v>2</v>
      </c>
      <c r="L4" s="7" t="s">
        <v>3</v>
      </c>
      <c r="M4" s="8" t="s">
        <v>4</v>
      </c>
      <c r="N4" s="7" t="s">
        <v>5</v>
      </c>
      <c r="O4" s="6" t="s">
        <v>4</v>
      </c>
      <c r="P4" s="6" t="s">
        <v>4</v>
      </c>
      <c r="Q4" s="6"/>
      <c r="R4" s="6" t="s">
        <v>6</v>
      </c>
      <c r="T4" s="9"/>
      <c r="U4" s="6"/>
      <c r="V4" s="10"/>
      <c r="W4" s="11"/>
      <c r="X4" s="12" t="s">
        <v>7</v>
      </c>
      <c r="Y4" s="13"/>
      <c r="Z4" s="13"/>
      <c r="AA4" s="6"/>
      <c r="AB4" s="7" t="s">
        <v>8</v>
      </c>
      <c r="AC4" s="6"/>
    </row>
    <row r="5" spans="1:40" x14ac:dyDescent="0.25">
      <c r="B5" s="14" t="s">
        <v>9</v>
      </c>
      <c r="C5" s="15" t="s">
        <v>10</v>
      </c>
      <c r="D5" s="14" t="s">
        <v>11</v>
      </c>
      <c r="E5" s="16" t="s">
        <v>12</v>
      </c>
      <c r="F5" s="14" t="s">
        <v>13</v>
      </c>
      <c r="H5" s="6"/>
      <c r="I5" s="6"/>
      <c r="J5" s="8" t="s">
        <v>14</v>
      </c>
      <c r="K5" s="7" t="s">
        <v>15</v>
      </c>
      <c r="L5" s="17" t="s">
        <v>16</v>
      </c>
      <c r="M5" s="7" t="s">
        <v>17</v>
      </c>
      <c r="N5" s="7" t="s">
        <v>18</v>
      </c>
      <c r="O5" s="18" t="s">
        <v>19</v>
      </c>
      <c r="P5" s="6" t="s">
        <v>20</v>
      </c>
      <c r="Q5" s="6" t="s">
        <v>21</v>
      </c>
      <c r="R5" s="6" t="s">
        <v>22</v>
      </c>
      <c r="T5" s="9"/>
      <c r="U5" s="6"/>
      <c r="V5" s="7"/>
      <c r="W5" s="19"/>
      <c r="X5" s="19"/>
      <c r="Y5" s="19"/>
      <c r="Z5" s="7"/>
      <c r="AA5" s="7"/>
      <c r="AB5" s="7" t="s">
        <v>23</v>
      </c>
      <c r="AC5" s="7" t="s">
        <v>24</v>
      </c>
      <c r="AL5" s="5"/>
    </row>
    <row r="6" spans="1:40" x14ac:dyDescent="0.25">
      <c r="B6" s="20"/>
      <c r="C6" s="20"/>
      <c r="D6" s="20"/>
      <c r="E6" s="21" t="s">
        <v>25</v>
      </c>
      <c r="F6" s="22" t="s">
        <v>26</v>
      </c>
      <c r="H6" s="6"/>
      <c r="I6" s="7" t="s">
        <v>9</v>
      </c>
      <c r="J6" s="8">
        <v>2015</v>
      </c>
      <c r="K6" s="7" t="s">
        <v>27</v>
      </c>
      <c r="L6" s="7" t="s">
        <v>28</v>
      </c>
      <c r="M6" s="7" t="s">
        <v>29</v>
      </c>
      <c r="N6" s="7" t="s">
        <v>28</v>
      </c>
      <c r="O6" s="18" t="s">
        <v>30</v>
      </c>
      <c r="P6" s="18" t="s">
        <v>31</v>
      </c>
      <c r="Q6" s="18" t="s">
        <v>32</v>
      </c>
      <c r="R6" s="18" t="s">
        <v>33</v>
      </c>
      <c r="T6" s="9"/>
      <c r="U6" s="7" t="s">
        <v>9</v>
      </c>
      <c r="V6" s="18" t="s">
        <v>34</v>
      </c>
      <c r="W6" s="18" t="s">
        <v>35</v>
      </c>
      <c r="X6" s="18" t="s">
        <v>36</v>
      </c>
      <c r="Y6" s="18" t="s">
        <v>37</v>
      </c>
      <c r="Z6" s="18" t="s">
        <v>38</v>
      </c>
      <c r="AA6" s="18" t="s">
        <v>39</v>
      </c>
      <c r="AB6" s="18" t="s">
        <v>40</v>
      </c>
      <c r="AC6" s="18" t="s">
        <v>41</v>
      </c>
    </row>
    <row r="7" spans="1:40" x14ac:dyDescent="0.25">
      <c r="A7" s="23">
        <v>1</v>
      </c>
      <c r="B7" s="7" t="s">
        <v>42</v>
      </c>
      <c r="C7" s="6" t="s">
        <v>43</v>
      </c>
      <c r="D7" s="24">
        <v>268328.21999999997</v>
      </c>
      <c r="E7" s="25">
        <v>0</v>
      </c>
      <c r="F7" s="6">
        <v>27.43</v>
      </c>
      <c r="H7" s="6">
        <v>1</v>
      </c>
      <c r="I7" s="6" t="s">
        <v>42</v>
      </c>
      <c r="J7" s="26">
        <v>16345</v>
      </c>
      <c r="K7" s="27">
        <f t="shared" ref="K7:K31" si="0">J7/$J$33*100</f>
        <v>6.3437692100148007E-3</v>
      </c>
      <c r="L7" s="28">
        <v>5750.55</v>
      </c>
      <c r="M7" s="27">
        <f t="shared" ref="M7:M31" si="1">L7/$L$33*100</f>
        <v>3.9089849619263362E-3</v>
      </c>
      <c r="N7" s="29">
        <f>J7-L7</f>
        <v>10594.45</v>
      </c>
      <c r="O7" s="27">
        <f t="shared" ref="O7:O31" si="2">E7/$E$33*100</f>
        <v>0</v>
      </c>
      <c r="P7" s="27">
        <f t="shared" ref="P7:P31" si="3">D7/$D$33*100</f>
        <v>5.4638885480246077E-2</v>
      </c>
      <c r="Q7" s="18">
        <v>27.43</v>
      </c>
      <c r="R7" s="18">
        <v>22.34</v>
      </c>
      <c r="T7" s="6">
        <v>1</v>
      </c>
      <c r="U7" s="7" t="s">
        <v>42</v>
      </c>
      <c r="V7" s="30" t="s">
        <v>44</v>
      </c>
      <c r="W7" s="31">
        <f>16.95+18.82</f>
        <v>35.769999999999996</v>
      </c>
      <c r="X7" s="31">
        <f>100-W7</f>
        <v>64.23</v>
      </c>
      <c r="Y7" s="31">
        <v>0</v>
      </c>
      <c r="Z7" s="31">
        <v>268328.21999999997</v>
      </c>
      <c r="AA7" s="31">
        <v>5663.59</v>
      </c>
      <c r="AB7" s="32">
        <f>(+AA7/Z7)*100</f>
        <v>2.1106948795769598</v>
      </c>
      <c r="AC7" s="18">
        <v>0.17030000000000001</v>
      </c>
    </row>
    <row r="8" spans="1:40" x14ac:dyDescent="0.25">
      <c r="A8" s="23">
        <v>2</v>
      </c>
      <c r="B8" s="6" t="s">
        <v>45</v>
      </c>
      <c r="C8" s="6" t="s">
        <v>46</v>
      </c>
      <c r="D8" s="24">
        <v>1656866.07</v>
      </c>
      <c r="E8" s="28">
        <f>17+1527</f>
        <v>1544</v>
      </c>
      <c r="F8" s="7">
        <v>3.05</v>
      </c>
      <c r="H8" s="6">
        <v>2</v>
      </c>
      <c r="I8" s="6" t="s">
        <v>45</v>
      </c>
      <c r="J8" s="24">
        <v>305521.82</v>
      </c>
      <c r="K8" s="27">
        <f t="shared" si="0"/>
        <v>0.11857815323974819</v>
      </c>
      <c r="L8" s="24">
        <v>231762.17</v>
      </c>
      <c r="M8" s="27">
        <f t="shared" si="1"/>
        <v>0.15754229374119258</v>
      </c>
      <c r="N8" s="29">
        <f t="shared" ref="N8:N31" si="4">J8-L8</f>
        <v>73759.649999999994</v>
      </c>
      <c r="O8" s="27">
        <f t="shared" si="2"/>
        <v>0.7376230765188394</v>
      </c>
      <c r="P8" s="27">
        <f t="shared" si="3"/>
        <v>0.33738276001993156</v>
      </c>
      <c r="Q8" s="6">
        <v>3.05</v>
      </c>
      <c r="R8" s="6">
        <v>11.35</v>
      </c>
      <c r="T8" s="6">
        <f>T7+1</f>
        <v>2</v>
      </c>
      <c r="U8" s="6" t="s">
        <v>45</v>
      </c>
      <c r="V8" s="30" t="s">
        <v>44</v>
      </c>
      <c r="W8" s="32">
        <v>45.33</v>
      </c>
      <c r="X8" s="32">
        <f>51.62+3.05</f>
        <v>54.669999999999995</v>
      </c>
      <c r="Y8" s="32"/>
      <c r="Z8" s="32">
        <v>1656866.07</v>
      </c>
      <c r="AA8" s="32">
        <v>30336.01</v>
      </c>
      <c r="AB8" s="32">
        <f t="shared" ref="AB8:AB31" si="5">(+AA8/Z8)*100</f>
        <v>1.8309271068602424</v>
      </c>
      <c r="AC8" s="30">
        <v>0.55162999999999995</v>
      </c>
    </row>
    <row r="9" spans="1:40" x14ac:dyDescent="0.25">
      <c r="A9" s="23">
        <v>3</v>
      </c>
      <c r="B9" s="32" t="s">
        <v>47</v>
      </c>
      <c r="C9" s="32" t="s">
        <v>48</v>
      </c>
      <c r="D9" s="32">
        <v>586235.38</v>
      </c>
      <c r="E9" s="32">
        <f>1623+33</f>
        <v>1656</v>
      </c>
      <c r="F9" s="32">
        <v>13</v>
      </c>
      <c r="H9" s="6">
        <v>3</v>
      </c>
      <c r="I9" s="6" t="s">
        <v>47</v>
      </c>
      <c r="J9" s="24">
        <v>105781</v>
      </c>
      <c r="K9" s="27">
        <f t="shared" si="0"/>
        <v>4.1055383958677E-2</v>
      </c>
      <c r="L9" s="24">
        <v>18233.39</v>
      </c>
      <c r="M9" s="27">
        <f t="shared" si="1"/>
        <v>1.2394300947724658E-2</v>
      </c>
      <c r="N9" s="29">
        <f t="shared" si="4"/>
        <v>87547.61</v>
      </c>
      <c r="O9" s="27">
        <f t="shared" si="2"/>
        <v>0.79112941367564649</v>
      </c>
      <c r="P9" s="27">
        <f t="shared" si="3"/>
        <v>0.11937338455227908</v>
      </c>
      <c r="Q9" s="33">
        <v>13</v>
      </c>
      <c r="R9" s="6">
        <v>18.75</v>
      </c>
      <c r="T9" s="6">
        <f t="shared" ref="T9:T30" si="6">T8+1</f>
        <v>3</v>
      </c>
      <c r="U9" s="6" t="s">
        <v>47</v>
      </c>
      <c r="V9" s="30" t="s">
        <v>49</v>
      </c>
      <c r="W9" s="32">
        <v>28.75</v>
      </c>
      <c r="X9" s="32">
        <f>60.56+10.69</f>
        <v>71.25</v>
      </c>
      <c r="Y9" s="32">
        <v>0</v>
      </c>
      <c r="Z9" s="32">
        <v>586235.38</v>
      </c>
      <c r="AA9" s="32">
        <v>45199.54</v>
      </c>
      <c r="AB9" s="32">
        <f t="shared" si="5"/>
        <v>7.7101351337751058</v>
      </c>
      <c r="AC9" s="34">
        <v>0.3795</v>
      </c>
      <c r="AE9" s="35"/>
    </row>
    <row r="10" spans="1:40" x14ac:dyDescent="0.25">
      <c r="A10" s="23">
        <v>4</v>
      </c>
      <c r="B10" s="32" t="s">
        <v>50</v>
      </c>
      <c r="C10" s="32" t="s">
        <v>51</v>
      </c>
      <c r="D10" s="32">
        <v>2544794.42</v>
      </c>
      <c r="E10" s="32">
        <f>1779+27</f>
        <v>1806</v>
      </c>
      <c r="F10" s="32">
        <v>21.71</v>
      </c>
      <c r="H10" s="6">
        <v>4</v>
      </c>
      <c r="I10" s="6" t="s">
        <v>50</v>
      </c>
      <c r="J10" s="24">
        <v>794772.92</v>
      </c>
      <c r="K10" s="27">
        <f t="shared" si="0"/>
        <v>0.30846472798100683</v>
      </c>
      <c r="L10" s="24">
        <v>605612.78</v>
      </c>
      <c r="M10" s="27">
        <f t="shared" si="1"/>
        <v>0.41167040539955352</v>
      </c>
      <c r="N10" s="29">
        <f t="shared" si="4"/>
        <v>189160.14</v>
      </c>
      <c r="O10" s="27">
        <f t="shared" si="2"/>
        <v>0.86278968665351297</v>
      </c>
      <c r="P10" s="27">
        <f t="shared" si="3"/>
        <v>0.51818899586912348</v>
      </c>
      <c r="Q10" s="6">
        <v>21.71</v>
      </c>
      <c r="R10" s="6">
        <v>8.58</v>
      </c>
      <c r="T10" s="6">
        <f t="shared" si="6"/>
        <v>4</v>
      </c>
      <c r="U10" s="6" t="s">
        <v>50</v>
      </c>
      <c r="V10" s="30" t="s">
        <v>44</v>
      </c>
      <c r="W10" s="32">
        <v>7.95</v>
      </c>
      <c r="X10" s="32">
        <v>92.05</v>
      </c>
      <c r="Y10" s="32">
        <v>0</v>
      </c>
      <c r="Z10" s="32">
        <v>2544794.42</v>
      </c>
      <c r="AA10" s="32">
        <v>241131.05</v>
      </c>
      <c r="AB10" s="32">
        <f t="shared" si="5"/>
        <v>9.4754628548737543</v>
      </c>
      <c r="AC10" s="34">
        <v>0.56510000000000005</v>
      </c>
      <c r="AL10" s="36"/>
      <c r="AM10" s="37"/>
      <c r="AN10" s="36"/>
    </row>
    <row r="11" spans="1:40" x14ac:dyDescent="0.25">
      <c r="A11" s="23">
        <v>5</v>
      </c>
      <c r="B11" s="32" t="s">
        <v>52</v>
      </c>
      <c r="C11" s="32" t="s">
        <v>53</v>
      </c>
      <c r="D11" s="32">
        <v>6704054.5999999996</v>
      </c>
      <c r="E11" s="32">
        <f>4415+68</f>
        <v>4483</v>
      </c>
      <c r="F11" s="32">
        <v>20.420000000000002</v>
      </c>
      <c r="H11" s="6">
        <v>5</v>
      </c>
      <c r="I11" s="6" t="s">
        <v>52</v>
      </c>
      <c r="J11" s="24">
        <v>2635331.79</v>
      </c>
      <c r="K11" s="27">
        <f t="shared" si="0"/>
        <v>1.0228165596558698</v>
      </c>
      <c r="L11" s="24">
        <v>1357815.47</v>
      </c>
      <c r="M11" s="27">
        <f t="shared" si="1"/>
        <v>0.92298654099189459</v>
      </c>
      <c r="N11" s="29">
        <f t="shared" si="4"/>
        <v>1277516.32</v>
      </c>
      <c r="O11" s="27">
        <f t="shared" si="2"/>
        <v>2.1416866917318376</v>
      </c>
      <c r="P11" s="27">
        <f t="shared" si="3"/>
        <v>1.3651269014594027</v>
      </c>
      <c r="Q11" s="6">
        <v>20.420000000000002</v>
      </c>
      <c r="R11" s="6">
        <v>17.579999999999998</v>
      </c>
      <c r="T11" s="6">
        <f t="shared" si="6"/>
        <v>5</v>
      </c>
      <c r="U11" s="6" t="s">
        <v>52</v>
      </c>
      <c r="V11" s="30" t="s">
        <v>49</v>
      </c>
      <c r="W11" s="32">
        <f>X11</f>
        <v>55.849999999999994</v>
      </c>
      <c r="X11" s="32">
        <f>43.12+12.73</f>
        <v>55.849999999999994</v>
      </c>
      <c r="Y11" s="32"/>
      <c r="Z11" s="32">
        <v>6704054.5999999996</v>
      </c>
      <c r="AA11" s="32">
        <v>148935.99</v>
      </c>
      <c r="AB11" s="32">
        <f t="shared" si="5"/>
        <v>2.2215808027577819</v>
      </c>
      <c r="AC11" s="34">
        <v>0.35770000000000002</v>
      </c>
      <c r="AL11" s="38"/>
      <c r="AM11" s="37"/>
      <c r="AN11" s="38"/>
    </row>
    <row r="12" spans="1:40" x14ac:dyDescent="0.25">
      <c r="A12" s="23">
        <v>6</v>
      </c>
      <c r="B12" s="32" t="s">
        <v>54</v>
      </c>
      <c r="C12" s="32" t="s">
        <v>53</v>
      </c>
      <c r="D12" s="32">
        <v>16107780.279999999</v>
      </c>
      <c r="E12" s="32">
        <f>6844+123</f>
        <v>6967</v>
      </c>
      <c r="F12" s="32">
        <v>4.33</v>
      </c>
      <c r="H12" s="6">
        <v>6</v>
      </c>
      <c r="I12" s="6" t="s">
        <v>54</v>
      </c>
      <c r="J12" s="24">
        <v>4326491.58</v>
      </c>
      <c r="K12" s="27">
        <f t="shared" si="0"/>
        <v>1.6791840974360528</v>
      </c>
      <c r="L12" s="24">
        <v>3402491.23</v>
      </c>
      <c r="M12" s="27">
        <f t="shared" si="1"/>
        <v>2.3128721689501428</v>
      </c>
      <c r="N12" s="29">
        <f t="shared" si="4"/>
        <v>924000.35000000009</v>
      </c>
      <c r="O12" s="27">
        <f t="shared" si="2"/>
        <v>3.3283808122453076</v>
      </c>
      <c r="P12" s="27">
        <f t="shared" si="3"/>
        <v>3.2799798771067992</v>
      </c>
      <c r="Q12" s="6">
        <v>4.33</v>
      </c>
      <c r="R12" s="6">
        <v>16.100000000000001</v>
      </c>
      <c r="T12" s="6">
        <f t="shared" si="6"/>
        <v>6</v>
      </c>
      <c r="U12" s="6" t="s">
        <v>54</v>
      </c>
      <c r="V12" s="30" t="s">
        <v>49</v>
      </c>
      <c r="W12" s="32">
        <f>0.62+39.05+7.97+3.1+3.82</f>
        <v>54.559999999999995</v>
      </c>
      <c r="X12" s="32">
        <f>100-W12-Y12</f>
        <v>41.620000000000005</v>
      </c>
      <c r="Y12" s="32">
        <v>3.82</v>
      </c>
      <c r="Z12" s="32">
        <v>16107780.279999999</v>
      </c>
      <c r="AA12" s="32">
        <v>545258.22</v>
      </c>
      <c r="AB12" s="32">
        <f t="shared" si="5"/>
        <v>3.3850611972713098</v>
      </c>
      <c r="AC12" s="34">
        <v>0.38969999999999999</v>
      </c>
      <c r="AL12" s="39"/>
      <c r="AM12" s="37"/>
      <c r="AN12" s="38"/>
    </row>
    <row r="13" spans="1:40" x14ac:dyDescent="0.25">
      <c r="A13" s="23">
        <v>7</v>
      </c>
      <c r="B13" s="32" t="s">
        <v>55</v>
      </c>
      <c r="C13" s="32" t="s">
        <v>53</v>
      </c>
      <c r="D13" s="32">
        <v>5683531.6399999997</v>
      </c>
      <c r="E13" s="32">
        <f>5165+5</f>
        <v>5170</v>
      </c>
      <c r="F13" s="32">
        <v>16.7</v>
      </c>
      <c r="H13" s="6">
        <v>7</v>
      </c>
      <c r="I13" s="6" t="s">
        <v>55</v>
      </c>
      <c r="J13" s="24">
        <v>3151696.83</v>
      </c>
      <c r="K13" s="27">
        <f t="shared" si="0"/>
        <v>1.2232265102144539</v>
      </c>
      <c r="L13" s="24">
        <v>628143.31999999995</v>
      </c>
      <c r="M13" s="27">
        <f t="shared" si="1"/>
        <v>0.4269857303761348</v>
      </c>
      <c r="N13" s="29">
        <f t="shared" si="4"/>
        <v>2523553.5100000002</v>
      </c>
      <c r="O13" s="27">
        <f t="shared" si="2"/>
        <v>2.4698907419704663</v>
      </c>
      <c r="P13" s="27">
        <f t="shared" si="3"/>
        <v>1.1573208155344794</v>
      </c>
      <c r="Q13" s="6">
        <v>16.7</v>
      </c>
      <c r="R13" s="40">
        <v>14.94</v>
      </c>
      <c r="T13" s="6">
        <f t="shared" si="6"/>
        <v>7</v>
      </c>
      <c r="U13" s="6" t="s">
        <v>55</v>
      </c>
      <c r="V13" s="30" t="s">
        <v>56</v>
      </c>
      <c r="W13" s="32">
        <f>3.51+2.96+3.44</f>
        <v>9.91</v>
      </c>
      <c r="X13" s="32">
        <f>100-W13</f>
        <v>90.09</v>
      </c>
      <c r="Y13" s="32"/>
      <c r="Z13" s="32">
        <v>5683531.6399999997</v>
      </c>
      <c r="AA13" s="32">
        <v>61524.94</v>
      </c>
      <c r="AB13" s="32">
        <f t="shared" si="5"/>
        <v>1.0825124921799503</v>
      </c>
      <c r="AC13" s="34">
        <v>0.1195</v>
      </c>
      <c r="AL13" s="38"/>
      <c r="AM13" s="37"/>
      <c r="AN13" s="38"/>
    </row>
    <row r="14" spans="1:40" x14ac:dyDescent="0.25">
      <c r="A14" s="23">
        <v>8</v>
      </c>
      <c r="B14" s="32" t="s">
        <v>57</v>
      </c>
      <c r="C14" s="32" t="s">
        <v>53</v>
      </c>
      <c r="D14" s="32">
        <v>178872059.91</v>
      </c>
      <c r="E14" s="32">
        <f>65894+1529</f>
        <v>67423</v>
      </c>
      <c r="F14" s="32">
        <v>21.94</v>
      </c>
      <c r="H14" s="6">
        <v>8</v>
      </c>
      <c r="I14" s="6" t="s">
        <v>57</v>
      </c>
      <c r="J14" s="24">
        <v>109190345.67</v>
      </c>
      <c r="K14" s="27">
        <f t="shared" si="0"/>
        <v>42.378608313993197</v>
      </c>
      <c r="L14" s="24">
        <v>92027981.280000001</v>
      </c>
      <c r="M14" s="27">
        <f t="shared" si="1"/>
        <v>62.556798028007464</v>
      </c>
      <c r="N14" s="29">
        <f t="shared" si="4"/>
        <v>17162364.390000001</v>
      </c>
      <c r="O14" s="27">
        <f t="shared" si="2"/>
        <v>32.210337233244637</v>
      </c>
      <c r="P14" s="27">
        <f t="shared" si="3"/>
        <v>36.423190960079438</v>
      </c>
      <c r="Q14" s="6">
        <v>21.94</v>
      </c>
      <c r="R14" s="6">
        <v>26.22</v>
      </c>
      <c r="T14" s="6">
        <f t="shared" si="6"/>
        <v>8</v>
      </c>
      <c r="U14" s="6" t="s">
        <v>57</v>
      </c>
      <c r="V14" s="30" t="s">
        <v>58</v>
      </c>
      <c r="W14" s="32">
        <v>0</v>
      </c>
      <c r="X14" s="32">
        <v>100</v>
      </c>
      <c r="Y14" s="32">
        <v>0</v>
      </c>
      <c r="Z14" s="32">
        <v>178872059.91</v>
      </c>
      <c r="AA14" s="32">
        <v>8419137.3100000005</v>
      </c>
      <c r="AB14" s="32">
        <f t="shared" si="5"/>
        <v>4.7067928407802277</v>
      </c>
      <c r="AC14" s="34">
        <v>0.69599999999999995</v>
      </c>
      <c r="AL14" s="38"/>
      <c r="AM14" s="37"/>
      <c r="AN14" s="38"/>
    </row>
    <row r="15" spans="1:40" x14ac:dyDescent="0.25">
      <c r="A15" s="23">
        <v>9</v>
      </c>
      <c r="B15" s="32" t="s">
        <v>59</v>
      </c>
      <c r="C15" s="32" t="s">
        <v>60</v>
      </c>
      <c r="D15" s="32">
        <v>5662106.4800000004</v>
      </c>
      <c r="E15" s="32">
        <v>12684</v>
      </c>
      <c r="F15" s="32">
        <v>15.92</v>
      </c>
      <c r="H15" s="6">
        <v>9</v>
      </c>
      <c r="I15" s="6" t="s">
        <v>59</v>
      </c>
      <c r="J15" s="24">
        <v>5662106.4800000004</v>
      </c>
      <c r="K15" s="27">
        <f t="shared" si="0"/>
        <v>2.1975586877729754</v>
      </c>
      <c r="L15" s="24">
        <v>6787124.8600000003</v>
      </c>
      <c r="M15" s="27">
        <f t="shared" si="1"/>
        <v>4.6136054833809617</v>
      </c>
      <c r="N15" s="29">
        <f t="shared" si="4"/>
        <v>-1125018.3799999999</v>
      </c>
      <c r="O15" s="27">
        <f t="shared" si="2"/>
        <v>6.0595926830083942</v>
      </c>
      <c r="P15" s="27">
        <f t="shared" si="3"/>
        <v>1.1529580732793565</v>
      </c>
      <c r="Q15" s="6">
        <v>15.92</v>
      </c>
      <c r="R15" s="6">
        <v>18.05</v>
      </c>
      <c r="T15" s="6">
        <f t="shared" si="6"/>
        <v>9</v>
      </c>
      <c r="U15" s="6" t="s">
        <v>59</v>
      </c>
      <c r="V15" s="30" t="s">
        <v>49</v>
      </c>
      <c r="W15" s="32">
        <v>33.07</v>
      </c>
      <c r="X15" s="32">
        <f>100-33.07</f>
        <v>66.930000000000007</v>
      </c>
      <c r="Y15" s="32">
        <v>0</v>
      </c>
      <c r="Z15" s="32">
        <v>25649246.34</v>
      </c>
      <c r="AA15" s="32">
        <v>794469.02</v>
      </c>
      <c r="AB15" s="32">
        <f t="shared" si="5"/>
        <v>3.0974361174933454</v>
      </c>
      <c r="AC15" s="41">
        <v>0.36899999999999999</v>
      </c>
      <c r="AL15" s="38"/>
      <c r="AM15" s="37"/>
      <c r="AN15" s="38"/>
    </row>
    <row r="16" spans="1:40" x14ac:dyDescent="0.25">
      <c r="A16" s="23">
        <v>10</v>
      </c>
      <c r="B16" s="32" t="s">
        <v>61</v>
      </c>
      <c r="C16" s="32" t="s">
        <v>60</v>
      </c>
      <c r="D16" s="32">
        <v>1489062.02</v>
      </c>
      <c r="E16" s="32">
        <v>3299</v>
      </c>
      <c r="F16" s="32">
        <v>12.01</v>
      </c>
      <c r="G16" s="35"/>
      <c r="H16" s="30">
        <v>10</v>
      </c>
      <c r="I16" s="30" t="s">
        <v>62</v>
      </c>
      <c r="J16" s="32">
        <v>448030.46</v>
      </c>
      <c r="K16" s="42">
        <f t="shared" si="0"/>
        <v>0.17388815156297141</v>
      </c>
      <c r="L16" s="32">
        <v>418222.64</v>
      </c>
      <c r="M16" s="42">
        <f t="shared" si="1"/>
        <v>0.28429037405067897</v>
      </c>
      <c r="N16" s="43">
        <f t="shared" si="4"/>
        <v>29807.820000000007</v>
      </c>
      <c r="O16" s="42">
        <f t="shared" si="2"/>
        <v>1.5760482703598779</v>
      </c>
      <c r="P16" s="42">
        <f t="shared" si="3"/>
        <v>0.30321331533360119</v>
      </c>
      <c r="Q16" s="30">
        <v>12.01</v>
      </c>
      <c r="R16" s="30">
        <v>25.12</v>
      </c>
      <c r="S16" s="35"/>
      <c r="T16" s="6">
        <f t="shared" si="6"/>
        <v>10</v>
      </c>
      <c r="U16" s="30" t="s">
        <v>62</v>
      </c>
      <c r="V16" s="30" t="s">
        <v>49</v>
      </c>
      <c r="W16" s="32">
        <v>30.75</v>
      </c>
      <c r="X16" s="32">
        <f>100-W16</f>
        <v>69.25</v>
      </c>
      <c r="Y16" s="32"/>
      <c r="Z16" s="32">
        <v>1489062.02</v>
      </c>
      <c r="AA16" s="32">
        <v>70641.66</v>
      </c>
      <c r="AB16" s="32">
        <f t="shared" si="5"/>
        <v>4.7440374578890951</v>
      </c>
      <c r="AC16" s="41">
        <v>0.1656</v>
      </c>
      <c r="AL16" s="38"/>
      <c r="AM16" s="37"/>
      <c r="AN16" s="44"/>
    </row>
    <row r="17" spans="1:40" x14ac:dyDescent="0.25">
      <c r="A17" s="23">
        <v>11</v>
      </c>
      <c r="B17" s="32" t="s">
        <v>63</v>
      </c>
      <c r="C17" s="32" t="s">
        <v>53</v>
      </c>
      <c r="D17" s="32">
        <v>132778197.58</v>
      </c>
      <c r="E17" s="32">
        <f>79250+677</f>
        <v>79927</v>
      </c>
      <c r="F17" s="32">
        <v>-1.63</v>
      </c>
      <c r="H17" s="6">
        <v>11</v>
      </c>
      <c r="I17" s="6" t="s">
        <v>63</v>
      </c>
      <c r="J17" s="24">
        <v>24857155.440000001</v>
      </c>
      <c r="K17" s="27">
        <f t="shared" si="0"/>
        <v>9.6474797998668649</v>
      </c>
      <c r="L17" s="24">
        <v>25129081.350000001</v>
      </c>
      <c r="M17" s="27">
        <f t="shared" si="1"/>
        <v>17.081705420207381</v>
      </c>
      <c r="N17" s="29">
        <f t="shared" si="4"/>
        <v>-271925.91000000015</v>
      </c>
      <c r="O17" s="27">
        <f t="shared" si="2"/>
        <v>38.183937588679591</v>
      </c>
      <c r="P17" s="27">
        <f t="shared" si="3"/>
        <v>27.037233474164989</v>
      </c>
      <c r="Q17" s="6">
        <v>-1.63</v>
      </c>
      <c r="R17" s="6">
        <v>35.770000000000003</v>
      </c>
      <c r="T17" s="6">
        <f t="shared" si="6"/>
        <v>11</v>
      </c>
      <c r="U17" s="6" t="s">
        <v>63</v>
      </c>
      <c r="V17" s="30" t="s">
        <v>44</v>
      </c>
      <c r="W17" s="32">
        <f>24.92+46.59+2.49+0.75+0.47+2.37</f>
        <v>77.59</v>
      </c>
      <c r="X17" s="32">
        <f>100-W17</f>
        <v>22.409999999999997</v>
      </c>
      <c r="Y17" s="32"/>
      <c r="Z17" s="32">
        <v>132778197.58</v>
      </c>
      <c r="AA17" s="32">
        <v>4739243.2300000004</v>
      </c>
      <c r="AB17" s="32">
        <f t="shared" si="5"/>
        <v>3.5692932396861057</v>
      </c>
      <c r="AC17" s="34">
        <v>2.5990000000000002</v>
      </c>
      <c r="AL17" s="38"/>
      <c r="AM17" s="37"/>
      <c r="AN17" s="38"/>
    </row>
    <row r="18" spans="1:40" x14ac:dyDescent="0.25">
      <c r="A18" s="23">
        <v>12</v>
      </c>
      <c r="B18" s="32" t="s">
        <v>64</v>
      </c>
      <c r="C18" s="32" t="s">
        <v>65</v>
      </c>
      <c r="D18" s="32">
        <v>44453414.460000001</v>
      </c>
      <c r="E18" s="32">
        <v>11001</v>
      </c>
      <c r="F18" s="32">
        <v>37.380000000000003</v>
      </c>
      <c r="H18" s="6">
        <v>12</v>
      </c>
      <c r="I18" s="6" t="s">
        <v>64</v>
      </c>
      <c r="J18" s="24">
        <v>27449814.960000001</v>
      </c>
      <c r="K18" s="27">
        <f t="shared" si="0"/>
        <v>10.653734534343936</v>
      </c>
      <c r="L18" s="24">
        <v>12553886.84</v>
      </c>
      <c r="M18" s="27">
        <f t="shared" si="1"/>
        <v>8.5336106757240486</v>
      </c>
      <c r="N18" s="29">
        <f t="shared" si="4"/>
        <v>14895928.120000001</v>
      </c>
      <c r="O18" s="27">
        <f t="shared" si="2"/>
        <v>5.2555644201967313</v>
      </c>
      <c r="P18" s="27">
        <f t="shared" si="3"/>
        <v>9.0519179156253315</v>
      </c>
      <c r="Q18" s="6">
        <v>37.86</v>
      </c>
      <c r="R18" s="6">
        <v>37.380000000000003</v>
      </c>
      <c r="T18" s="6">
        <f t="shared" si="6"/>
        <v>12</v>
      </c>
      <c r="U18" s="6" t="s">
        <v>66</v>
      </c>
      <c r="V18" s="30" t="s">
        <v>58</v>
      </c>
      <c r="W18" s="32">
        <v>0</v>
      </c>
      <c r="X18" s="32">
        <v>100</v>
      </c>
      <c r="Y18" s="32">
        <v>0</v>
      </c>
      <c r="Z18" s="32">
        <v>44453414.460000001</v>
      </c>
      <c r="AA18" s="32">
        <v>948295.11</v>
      </c>
      <c r="AB18" s="32">
        <f t="shared" si="5"/>
        <v>2.133233456910927</v>
      </c>
      <c r="AC18" s="34">
        <v>0.34287440000000002</v>
      </c>
      <c r="AL18" s="38"/>
      <c r="AM18" s="37"/>
      <c r="AN18" s="38"/>
    </row>
    <row r="19" spans="1:40" x14ac:dyDescent="0.25">
      <c r="A19" s="23">
        <v>13</v>
      </c>
      <c r="B19" s="32" t="s">
        <v>67</v>
      </c>
      <c r="C19" s="32" t="s">
        <v>65</v>
      </c>
      <c r="D19" s="32">
        <v>1548584.61</v>
      </c>
      <c r="E19" s="32">
        <v>2189</v>
      </c>
      <c r="F19" s="32">
        <v>4.2300000000000004</v>
      </c>
      <c r="H19" s="6"/>
      <c r="I19" s="32" t="s">
        <v>67</v>
      </c>
      <c r="J19" s="24">
        <v>382507.3</v>
      </c>
      <c r="K19" s="27">
        <f t="shared" si="0"/>
        <v>0.14845751192082557</v>
      </c>
      <c r="L19" s="24">
        <v>324565.78000000003</v>
      </c>
      <c r="M19" s="27">
        <f t="shared" si="1"/>
        <v>0.22062633194666451</v>
      </c>
      <c r="N19" s="29">
        <f t="shared" si="4"/>
        <v>57941.51999999996</v>
      </c>
      <c r="O19" s="27">
        <f t="shared" si="2"/>
        <v>1.0457622503236654</v>
      </c>
      <c r="P19" s="27">
        <f t="shared" si="3"/>
        <v>0.31533372510077973</v>
      </c>
      <c r="Q19" s="6">
        <v>4.2300000000000004</v>
      </c>
      <c r="R19" s="6">
        <v>12.38</v>
      </c>
      <c r="T19" s="6">
        <f t="shared" si="6"/>
        <v>13</v>
      </c>
      <c r="U19" s="32" t="s">
        <v>68</v>
      </c>
      <c r="V19" s="30" t="s">
        <v>44</v>
      </c>
      <c r="W19" s="32">
        <v>70</v>
      </c>
      <c r="X19" s="32">
        <v>25</v>
      </c>
      <c r="Y19" s="32">
        <v>5</v>
      </c>
      <c r="Z19" s="32">
        <v>1548584.61</v>
      </c>
      <c r="AA19" s="32">
        <v>42730.720000000001</v>
      </c>
      <c r="AB19" s="32">
        <f t="shared" si="5"/>
        <v>2.7593403501536802</v>
      </c>
      <c r="AC19" s="34">
        <v>0.41661740000000003</v>
      </c>
      <c r="AL19" s="38"/>
      <c r="AM19" s="37"/>
      <c r="AN19" s="38"/>
    </row>
    <row r="20" spans="1:40" x14ac:dyDescent="0.25">
      <c r="A20" s="23">
        <v>14</v>
      </c>
      <c r="B20" s="32" t="s">
        <v>69</v>
      </c>
      <c r="C20" s="32" t="s">
        <v>70</v>
      </c>
      <c r="D20" s="32">
        <v>80761902.379999995</v>
      </c>
      <c r="E20" s="32">
        <f>3968+46</f>
        <v>4014</v>
      </c>
      <c r="F20" s="33">
        <v>27.02</v>
      </c>
      <c r="H20" s="6">
        <v>13</v>
      </c>
      <c r="I20" s="24" t="s">
        <v>69</v>
      </c>
      <c r="J20" s="24">
        <v>73164155.200000003</v>
      </c>
      <c r="K20" s="27">
        <f t="shared" si="0"/>
        <v>28.396238301285059</v>
      </c>
      <c r="L20" s="24">
        <v>1745845.57</v>
      </c>
      <c r="M20" s="27">
        <f t="shared" si="1"/>
        <v>1.1867532808123942</v>
      </c>
      <c r="N20" s="29">
        <f t="shared" si="4"/>
        <v>71418309.63000001</v>
      </c>
      <c r="O20" s="27">
        <f t="shared" si="2"/>
        <v>1.9176289048877082</v>
      </c>
      <c r="P20" s="27">
        <f t="shared" si="3"/>
        <v>16.445308418576449</v>
      </c>
      <c r="Q20" s="6">
        <v>27.02</v>
      </c>
      <c r="R20" s="6">
        <v>28.69</v>
      </c>
      <c r="T20" s="6">
        <f t="shared" si="6"/>
        <v>14</v>
      </c>
      <c r="U20" s="24" t="s">
        <v>69</v>
      </c>
      <c r="V20" s="30" t="s">
        <v>58</v>
      </c>
      <c r="W20" s="45">
        <v>0</v>
      </c>
      <c r="X20" s="45">
        <v>100</v>
      </c>
      <c r="Y20" s="45">
        <v>0</v>
      </c>
      <c r="Z20" s="45">
        <v>80761902.379999995</v>
      </c>
      <c r="AA20" s="45">
        <v>1560027.69</v>
      </c>
      <c r="AB20" s="32">
        <f t="shared" si="5"/>
        <v>1.9316381165215439</v>
      </c>
      <c r="AC20" s="34">
        <v>0.25629999999999997</v>
      </c>
      <c r="AL20" s="38"/>
      <c r="AM20" s="37"/>
      <c r="AN20" s="38"/>
    </row>
    <row r="21" spans="1:40" x14ac:dyDescent="0.25">
      <c r="A21" s="23">
        <v>15</v>
      </c>
      <c r="B21" s="32" t="s">
        <v>71</v>
      </c>
      <c r="C21" s="32" t="s">
        <v>72</v>
      </c>
      <c r="D21" s="32">
        <v>955592</v>
      </c>
      <c r="E21" s="32">
        <f>23+234</f>
        <v>257</v>
      </c>
      <c r="F21" s="32">
        <v>19.7</v>
      </c>
      <c r="H21" s="6">
        <v>15</v>
      </c>
      <c r="I21" s="32" t="s">
        <v>73</v>
      </c>
      <c r="J21" s="24">
        <v>266656.08</v>
      </c>
      <c r="K21" s="27">
        <f t="shared" si="0"/>
        <v>0.10349370633020762</v>
      </c>
      <c r="L21" s="24">
        <v>43517.71</v>
      </c>
      <c r="M21" s="27">
        <f t="shared" si="1"/>
        <v>2.9581531152232627E-2</v>
      </c>
      <c r="N21" s="29">
        <f t="shared" si="4"/>
        <v>223138.37000000002</v>
      </c>
      <c r="O21" s="27">
        <f t="shared" si="2"/>
        <v>0.12277793436874465</v>
      </c>
      <c r="P21" s="27">
        <f t="shared" si="3"/>
        <v>0.1945843856968876</v>
      </c>
      <c r="Q21" s="6">
        <v>19.7</v>
      </c>
      <c r="R21" s="6">
        <v>19.7</v>
      </c>
      <c r="T21" s="6">
        <f t="shared" si="6"/>
        <v>15</v>
      </c>
      <c r="U21" s="32" t="s">
        <v>73</v>
      </c>
      <c r="V21" s="30" t="s">
        <v>49</v>
      </c>
      <c r="W21" s="32">
        <v>30</v>
      </c>
      <c r="X21" s="32">
        <v>70</v>
      </c>
      <c r="Y21" s="32">
        <v>0</v>
      </c>
      <c r="Z21" s="32">
        <v>955592</v>
      </c>
      <c r="AA21" s="32">
        <v>30105.78</v>
      </c>
      <c r="AB21" s="32">
        <f t="shared" si="5"/>
        <v>3.1504847256988335</v>
      </c>
      <c r="AC21" s="46">
        <v>19.7</v>
      </c>
      <c r="AL21" s="38"/>
      <c r="AM21" s="37"/>
      <c r="AN21" s="44"/>
    </row>
    <row r="22" spans="1:40" x14ac:dyDescent="0.25">
      <c r="A22" s="23">
        <v>16</v>
      </c>
      <c r="B22" s="32" t="s">
        <v>74</v>
      </c>
      <c r="C22" s="32" t="s">
        <v>74</v>
      </c>
      <c r="D22" s="32">
        <v>206772.15</v>
      </c>
      <c r="E22" s="32">
        <v>205</v>
      </c>
      <c r="F22" s="32">
        <v>13.5</v>
      </c>
      <c r="H22" s="6"/>
      <c r="I22" s="32" t="s">
        <v>74</v>
      </c>
      <c r="J22" s="24">
        <v>183521.95</v>
      </c>
      <c r="K22" s="27">
        <f t="shared" si="0"/>
        <v>7.12279532439202E-2</v>
      </c>
      <c r="L22" s="24">
        <v>43517.71</v>
      </c>
      <c r="M22" s="27">
        <f t="shared" si="1"/>
        <v>2.9581531152232627E-2</v>
      </c>
      <c r="N22" s="29">
        <f t="shared" si="4"/>
        <v>140004.24000000002</v>
      </c>
      <c r="O22" s="27">
        <f t="shared" si="2"/>
        <v>9.7935706403084258E-2</v>
      </c>
      <c r="P22" s="27">
        <f t="shared" si="3"/>
        <v>4.2104404167233191E-2</v>
      </c>
      <c r="Q22" s="6">
        <v>13.5</v>
      </c>
      <c r="R22" s="24">
        <v>0</v>
      </c>
      <c r="T22" s="6">
        <f t="shared" si="6"/>
        <v>16</v>
      </c>
      <c r="U22" s="32" t="s">
        <v>75</v>
      </c>
      <c r="V22" s="30" t="s">
        <v>58</v>
      </c>
      <c r="W22" s="32">
        <v>18.45</v>
      </c>
      <c r="X22" s="32">
        <f>71.05+10.5</f>
        <v>81.55</v>
      </c>
      <c r="Y22" s="32"/>
      <c r="Z22" s="32">
        <v>206772.15</v>
      </c>
      <c r="AA22" s="32">
        <v>3215.34</v>
      </c>
      <c r="AB22" s="32">
        <f t="shared" si="5"/>
        <v>1.5550159922407345</v>
      </c>
      <c r="AC22" s="45">
        <v>0</v>
      </c>
      <c r="AL22" s="38"/>
      <c r="AM22" s="37"/>
      <c r="AN22" s="44"/>
    </row>
    <row r="23" spans="1:40" x14ac:dyDescent="0.25">
      <c r="A23" s="23">
        <v>17</v>
      </c>
      <c r="B23" s="32" t="s">
        <v>76</v>
      </c>
      <c r="C23" s="32" t="s">
        <v>77</v>
      </c>
      <c r="D23" s="32">
        <v>2269969.87</v>
      </c>
      <c r="E23" s="32">
        <v>1143</v>
      </c>
      <c r="F23" s="32">
        <v>6.42</v>
      </c>
      <c r="H23" s="6">
        <v>16</v>
      </c>
      <c r="I23" s="6" t="s">
        <v>76</v>
      </c>
      <c r="J23" s="24">
        <v>99278</v>
      </c>
      <c r="K23" s="27">
        <f t="shared" si="0"/>
        <v>3.8531460362915222E-2</v>
      </c>
      <c r="L23" s="24">
        <v>57232.21</v>
      </c>
      <c r="M23" s="27">
        <f t="shared" si="1"/>
        <v>3.8904078432116934E-2</v>
      </c>
      <c r="N23" s="29">
        <f t="shared" si="4"/>
        <v>42045.79</v>
      </c>
      <c r="O23" s="27">
        <f t="shared" si="2"/>
        <v>0.54605128009134296</v>
      </c>
      <c r="P23" s="27">
        <f t="shared" si="3"/>
        <v>0.46222728183617473</v>
      </c>
      <c r="Q23" s="6">
        <v>6.42</v>
      </c>
      <c r="R23" s="6">
        <v>11.42</v>
      </c>
      <c r="T23" s="6">
        <f t="shared" si="6"/>
        <v>17</v>
      </c>
      <c r="U23" s="6" t="s">
        <v>76</v>
      </c>
      <c r="V23" s="30" t="s">
        <v>44</v>
      </c>
      <c r="W23" s="32">
        <v>51.53</v>
      </c>
      <c r="X23" s="32">
        <v>45.23</v>
      </c>
      <c r="Y23" s="32">
        <v>3.24</v>
      </c>
      <c r="Z23" s="32">
        <v>2269969.87</v>
      </c>
      <c r="AA23" s="32">
        <v>82672.929999999993</v>
      </c>
      <c r="AB23" s="32">
        <f t="shared" si="5"/>
        <v>3.6420276362522817</v>
      </c>
      <c r="AC23" s="34"/>
      <c r="AL23" s="38"/>
      <c r="AM23" s="37"/>
      <c r="AN23" s="38"/>
    </row>
    <row r="24" spans="1:40" x14ac:dyDescent="0.25">
      <c r="A24" s="23">
        <v>18</v>
      </c>
      <c r="B24" s="32" t="s">
        <v>78</v>
      </c>
      <c r="C24" s="32" t="s">
        <v>79</v>
      </c>
      <c r="D24" s="32">
        <v>1186065.95</v>
      </c>
      <c r="E24" s="32">
        <f>18+597+615</f>
        <v>1230</v>
      </c>
      <c r="F24" s="47">
        <v>-5.31</v>
      </c>
      <c r="H24" s="6">
        <v>17</v>
      </c>
      <c r="I24" s="6" t="s">
        <v>78</v>
      </c>
      <c r="J24" s="24">
        <v>580767.97</v>
      </c>
      <c r="K24" s="27">
        <f t="shared" si="0"/>
        <v>0.22540581011005195</v>
      </c>
      <c r="L24" s="24">
        <v>186368.7</v>
      </c>
      <c r="M24" s="27">
        <f t="shared" si="1"/>
        <v>0.1266856988764137</v>
      </c>
      <c r="N24" s="29">
        <f t="shared" si="4"/>
        <v>394399.26999999996</v>
      </c>
      <c r="O24" s="27">
        <f t="shared" si="2"/>
        <v>0.58761423841850557</v>
      </c>
      <c r="P24" s="27">
        <f t="shared" si="3"/>
        <v>0.24151511762001504</v>
      </c>
      <c r="Q24" s="48">
        <v>-5.31</v>
      </c>
      <c r="R24" s="24">
        <v>0</v>
      </c>
      <c r="T24" s="6">
        <f t="shared" si="6"/>
        <v>18</v>
      </c>
      <c r="U24" s="6" t="s">
        <v>78</v>
      </c>
      <c r="V24" s="30" t="s">
        <v>44</v>
      </c>
      <c r="W24" s="32">
        <f>35+36</f>
        <v>71</v>
      </c>
      <c r="X24" s="32">
        <f>100-W24</f>
        <v>29</v>
      </c>
      <c r="Y24" s="32">
        <v>0</v>
      </c>
      <c r="Z24" s="32">
        <v>1186065.95</v>
      </c>
      <c r="AA24" s="32">
        <v>19856.68</v>
      </c>
      <c r="AB24" s="32">
        <f t="shared" si="5"/>
        <v>1.6741632284444217</v>
      </c>
      <c r="AC24" s="34">
        <v>1.1415</v>
      </c>
      <c r="AL24" s="38"/>
      <c r="AM24" s="37"/>
      <c r="AN24" s="38"/>
    </row>
    <row r="25" spans="1:40" x14ac:dyDescent="0.25">
      <c r="A25" s="23">
        <v>19</v>
      </c>
      <c r="B25" s="32" t="s">
        <v>80</v>
      </c>
      <c r="C25" s="32" t="s">
        <v>79</v>
      </c>
      <c r="D25" s="32">
        <v>1734119.59</v>
      </c>
      <c r="E25" s="32">
        <f>24+739+763</f>
        <v>1526</v>
      </c>
      <c r="F25" s="32">
        <v>27.87</v>
      </c>
      <c r="H25" s="6">
        <v>18</v>
      </c>
      <c r="I25" s="6" t="s">
        <v>80</v>
      </c>
      <c r="J25" s="24">
        <v>1478224.85</v>
      </c>
      <c r="K25" s="27">
        <f t="shared" si="0"/>
        <v>0.57372390877386037</v>
      </c>
      <c r="L25" s="24">
        <v>708712.39</v>
      </c>
      <c r="M25" s="27">
        <f t="shared" si="1"/>
        <v>0.48175323661925773</v>
      </c>
      <c r="N25" s="29">
        <f t="shared" si="4"/>
        <v>769512.46000000008</v>
      </c>
      <c r="O25" s="27">
        <f t="shared" si="2"/>
        <v>0.72902384376149543</v>
      </c>
      <c r="P25" s="27">
        <f t="shared" si="3"/>
        <v>0.35311366686314727</v>
      </c>
      <c r="Q25" s="6">
        <v>27.87</v>
      </c>
      <c r="R25" s="6">
        <v>24.87</v>
      </c>
      <c r="T25" s="6">
        <f t="shared" si="6"/>
        <v>19</v>
      </c>
      <c r="U25" s="6" t="s">
        <v>80</v>
      </c>
      <c r="V25" s="30" t="s">
        <v>58</v>
      </c>
      <c r="W25" s="32">
        <v>0</v>
      </c>
      <c r="X25" s="32">
        <v>100</v>
      </c>
      <c r="Y25" s="32">
        <v>0</v>
      </c>
      <c r="Z25" s="32">
        <v>1734119.59</v>
      </c>
      <c r="AA25" s="32">
        <v>33719.39</v>
      </c>
      <c r="AB25" s="32">
        <f t="shared" si="5"/>
        <v>1.9444673939702162</v>
      </c>
      <c r="AC25" s="34">
        <v>1.6365000000000001</v>
      </c>
      <c r="AL25" s="38"/>
      <c r="AM25" s="37"/>
      <c r="AN25" s="38"/>
    </row>
    <row r="26" spans="1:40" x14ac:dyDescent="0.25">
      <c r="A26" s="23">
        <v>20</v>
      </c>
      <c r="B26" s="32" t="s">
        <v>81</v>
      </c>
      <c r="C26" s="32" t="s">
        <v>82</v>
      </c>
      <c r="D26" s="32">
        <v>2954987</v>
      </c>
      <c r="E26" s="32">
        <f>1568+26+33</f>
        <v>1627</v>
      </c>
      <c r="F26" s="32">
        <v>-0.71</v>
      </c>
      <c r="H26" s="6">
        <v>19</v>
      </c>
      <c r="I26" s="6" t="s">
        <v>81</v>
      </c>
      <c r="J26" s="24">
        <v>374174</v>
      </c>
      <c r="K26" s="27">
        <f t="shared" si="0"/>
        <v>0.14522321813325653</v>
      </c>
      <c r="L26" s="24">
        <v>582217</v>
      </c>
      <c r="M26" s="49">
        <f t="shared" si="1"/>
        <v>0.395766926220599</v>
      </c>
      <c r="N26" s="29">
        <f t="shared" si="4"/>
        <v>-208043</v>
      </c>
      <c r="O26" s="27">
        <f t="shared" si="2"/>
        <v>0.77727509423325902</v>
      </c>
      <c r="P26" s="27">
        <f t="shared" si="3"/>
        <v>0.60171530332745449</v>
      </c>
      <c r="Q26" s="6">
        <v>14.4</v>
      </c>
      <c r="R26" s="6">
        <v>14.4</v>
      </c>
      <c r="T26" s="6">
        <f t="shared" si="6"/>
        <v>20</v>
      </c>
      <c r="U26" s="6" t="s">
        <v>81</v>
      </c>
      <c r="V26" s="30" t="s">
        <v>44</v>
      </c>
      <c r="W26" s="32">
        <v>75.72</v>
      </c>
      <c r="X26" s="32">
        <f>100-W26</f>
        <v>24.28</v>
      </c>
      <c r="Y26" s="32">
        <v>0</v>
      </c>
      <c r="Z26" s="32">
        <v>2954987</v>
      </c>
      <c r="AA26" s="32">
        <v>98157</v>
      </c>
      <c r="AB26" s="32">
        <f t="shared" si="5"/>
        <v>3.3217405017348636</v>
      </c>
      <c r="AC26" s="34">
        <v>0.50890000000000002</v>
      </c>
      <c r="AL26" s="38"/>
      <c r="AM26" s="37"/>
      <c r="AN26" s="38"/>
    </row>
    <row r="27" spans="1:40" x14ac:dyDescent="0.25">
      <c r="A27" s="23">
        <v>21</v>
      </c>
      <c r="B27" s="30" t="s">
        <v>83</v>
      </c>
      <c r="C27" s="30" t="s">
        <v>84</v>
      </c>
      <c r="D27" s="32">
        <v>306544.09999999998</v>
      </c>
      <c r="E27" s="32">
        <v>75</v>
      </c>
      <c r="F27" s="30">
        <v>-5.98</v>
      </c>
      <c r="H27" s="20"/>
      <c r="I27" s="30" t="s">
        <v>83</v>
      </c>
      <c r="J27" s="24">
        <v>298062.89</v>
      </c>
      <c r="K27" s="27">
        <f t="shared" si="0"/>
        <v>0.1156832171446943</v>
      </c>
      <c r="L27" s="24">
        <v>0</v>
      </c>
      <c r="M27" s="49">
        <f t="shared" si="1"/>
        <v>0</v>
      </c>
      <c r="N27" s="29">
        <f t="shared" si="4"/>
        <v>298062.89</v>
      </c>
      <c r="O27" s="27">
        <f t="shared" si="2"/>
        <v>3.5830136488933267E-2</v>
      </c>
      <c r="P27" s="27">
        <f t="shared" si="3"/>
        <v>6.2420672617084783E-2</v>
      </c>
      <c r="Q27" s="6">
        <v>-5.98</v>
      </c>
      <c r="R27" s="48">
        <v>0</v>
      </c>
      <c r="T27" s="6">
        <f t="shared" si="6"/>
        <v>21</v>
      </c>
      <c r="U27" s="30" t="s">
        <v>83</v>
      </c>
      <c r="V27" s="30" t="s">
        <v>44</v>
      </c>
      <c r="W27" s="32">
        <f>68.55+23.29</f>
        <v>91.84</v>
      </c>
      <c r="X27" s="32">
        <f>1.91+6.09</f>
        <v>8</v>
      </c>
      <c r="Y27" s="32">
        <v>0</v>
      </c>
      <c r="Z27" s="32">
        <v>306511.09999999998</v>
      </c>
      <c r="AA27" s="31">
        <v>6995.12</v>
      </c>
      <c r="AB27" s="32">
        <f t="shared" si="5"/>
        <v>2.2821750990420901</v>
      </c>
      <c r="AC27" s="34">
        <v>0.47010000000000002</v>
      </c>
      <c r="AL27" s="38"/>
      <c r="AM27" s="37"/>
      <c r="AN27" s="38"/>
    </row>
    <row r="28" spans="1:40" x14ac:dyDescent="0.25">
      <c r="A28" s="23">
        <v>22</v>
      </c>
      <c r="B28" s="30" t="s">
        <v>85</v>
      </c>
      <c r="C28" s="30" t="s">
        <v>84</v>
      </c>
      <c r="D28" s="32">
        <v>273241.34000000003</v>
      </c>
      <c r="E28" s="32">
        <v>89</v>
      </c>
      <c r="F28" s="30">
        <v>26.01</v>
      </c>
      <c r="H28" s="20"/>
      <c r="I28" s="30" t="s">
        <v>85</v>
      </c>
      <c r="J28" s="24">
        <v>233181.22</v>
      </c>
      <c r="K28" s="27">
        <f t="shared" si="0"/>
        <v>9.0501550553055213E-2</v>
      </c>
      <c r="L28" s="24">
        <v>0</v>
      </c>
      <c r="M28" s="49">
        <f t="shared" si="1"/>
        <v>0</v>
      </c>
      <c r="N28" s="29">
        <f t="shared" si="4"/>
        <v>233181.22</v>
      </c>
      <c r="O28" s="27">
        <f t="shared" si="2"/>
        <v>4.2518428633534139E-2</v>
      </c>
      <c r="P28" s="27">
        <f t="shared" si="3"/>
        <v>5.5639329641619453E-2</v>
      </c>
      <c r="Q28" s="6">
        <v>26.01</v>
      </c>
      <c r="R28" s="48">
        <v>0</v>
      </c>
      <c r="T28" s="6">
        <f t="shared" si="6"/>
        <v>22</v>
      </c>
      <c r="U28" s="30" t="s">
        <v>85</v>
      </c>
      <c r="V28" s="30" t="s">
        <v>58</v>
      </c>
      <c r="W28" s="32">
        <v>0</v>
      </c>
      <c r="X28" s="32">
        <v>100</v>
      </c>
      <c r="Y28" s="32">
        <v>0</v>
      </c>
      <c r="Z28" s="32">
        <v>273241.34000000003</v>
      </c>
      <c r="AA28" s="31">
        <v>2566.64</v>
      </c>
      <c r="AB28" s="32">
        <f t="shared" si="5"/>
        <v>0.93933077622880923</v>
      </c>
      <c r="AC28" s="34">
        <v>0.59160000000000001</v>
      </c>
      <c r="AL28" s="38"/>
      <c r="AM28" s="37"/>
      <c r="AN28" s="38"/>
    </row>
    <row r="29" spans="1:40" x14ac:dyDescent="0.25">
      <c r="A29" s="23">
        <v>23</v>
      </c>
      <c r="B29" s="30" t="s">
        <v>86</v>
      </c>
      <c r="C29" s="30" t="s">
        <v>84</v>
      </c>
      <c r="D29" s="32">
        <v>411066.89</v>
      </c>
      <c r="E29" s="32">
        <v>118</v>
      </c>
      <c r="F29" s="30">
        <v>21.21</v>
      </c>
      <c r="H29" s="20"/>
      <c r="I29" s="30" t="s">
        <v>86</v>
      </c>
      <c r="J29" s="24">
        <v>904131.38</v>
      </c>
      <c r="K29" s="27">
        <f t="shared" si="0"/>
        <v>0.35090858429196642</v>
      </c>
      <c r="L29" s="24">
        <v>4191.1899999999996</v>
      </c>
      <c r="M29" s="49">
        <f t="shared" si="1"/>
        <v>2.8489968233605546E-3</v>
      </c>
      <c r="N29" s="29">
        <f t="shared" si="4"/>
        <v>899940.19000000006</v>
      </c>
      <c r="O29" s="27">
        <f t="shared" si="2"/>
        <v>5.6372748075921672E-2</v>
      </c>
      <c r="P29" s="27">
        <f t="shared" si="3"/>
        <v>8.3704340629662116E-2</v>
      </c>
      <c r="Q29" s="6">
        <v>21.21</v>
      </c>
      <c r="R29" s="48">
        <v>0</v>
      </c>
      <c r="T29" s="6">
        <f t="shared" si="6"/>
        <v>23</v>
      </c>
      <c r="U29" s="30" t="s">
        <v>86</v>
      </c>
      <c r="V29" s="30" t="s">
        <v>58</v>
      </c>
      <c r="W29" s="32">
        <f>2.34+4.11</f>
        <v>6.45</v>
      </c>
      <c r="X29" s="32">
        <f>100-W29</f>
        <v>93.55</v>
      </c>
      <c r="Y29" s="32">
        <v>0</v>
      </c>
      <c r="Z29" s="32">
        <v>411066.89</v>
      </c>
      <c r="AA29" s="31">
        <v>2464.91</v>
      </c>
      <c r="AB29" s="32">
        <f t="shared" si="5"/>
        <v>0.59963720259736797</v>
      </c>
      <c r="AC29" s="34">
        <v>0.55910000000000004</v>
      </c>
      <c r="AL29" s="38"/>
      <c r="AM29" s="37"/>
      <c r="AN29" s="38"/>
    </row>
    <row r="30" spans="1:40" x14ac:dyDescent="0.25">
      <c r="A30" s="23">
        <v>24</v>
      </c>
      <c r="B30" s="32" t="s">
        <v>87</v>
      </c>
      <c r="C30" s="32" t="s">
        <v>88</v>
      </c>
      <c r="D30" s="32">
        <v>1326917</v>
      </c>
      <c r="E30" s="32">
        <f>11+737</f>
        <v>748</v>
      </c>
      <c r="F30" s="30">
        <v>27.82</v>
      </c>
      <c r="H30" s="50">
        <v>20</v>
      </c>
      <c r="I30" s="6" t="s">
        <v>87</v>
      </c>
      <c r="J30" s="24">
        <v>396602</v>
      </c>
      <c r="K30" s="27">
        <f t="shared" si="0"/>
        <v>0.15392790188010338</v>
      </c>
      <c r="L30" s="24">
        <v>239576</v>
      </c>
      <c r="M30" s="27">
        <f t="shared" si="1"/>
        <v>0.16285381072044655</v>
      </c>
      <c r="N30" s="29">
        <f t="shared" si="4"/>
        <v>157026</v>
      </c>
      <c r="O30" s="27">
        <f t="shared" si="2"/>
        <v>0.35734589458296112</v>
      </c>
      <c r="P30" s="27">
        <f t="shared" si="3"/>
        <v>0.2701962022659849</v>
      </c>
      <c r="Q30" s="6">
        <v>27.82</v>
      </c>
      <c r="R30" s="6">
        <v>21.88</v>
      </c>
      <c r="T30" s="6">
        <f t="shared" si="6"/>
        <v>24</v>
      </c>
      <c r="U30" s="6" t="s">
        <v>87</v>
      </c>
      <c r="V30" s="30" t="s">
        <v>58</v>
      </c>
      <c r="W30" s="32">
        <f>3.71+0.32</f>
        <v>4.03</v>
      </c>
      <c r="X30" s="32">
        <f>100-W30</f>
        <v>95.97</v>
      </c>
      <c r="Y30" s="32">
        <v>0</v>
      </c>
      <c r="Z30" s="32">
        <v>1326917</v>
      </c>
      <c r="AA30" s="32">
        <v>66235</v>
      </c>
      <c r="AB30" s="32">
        <f t="shared" si="5"/>
        <v>4.991646048697846</v>
      </c>
      <c r="AC30" s="34">
        <v>0.8881</v>
      </c>
      <c r="AL30" s="38"/>
      <c r="AM30" s="37"/>
      <c r="AN30" s="38"/>
    </row>
    <row r="31" spans="1:40" x14ac:dyDescent="0.25">
      <c r="A31" s="23">
        <v>25</v>
      </c>
      <c r="B31" s="32" t="s">
        <v>89</v>
      </c>
      <c r="C31" s="32"/>
      <c r="D31" s="32">
        <v>351681.13</v>
      </c>
      <c r="E31" s="32">
        <v>140</v>
      </c>
      <c r="F31" s="32">
        <v>3.4</v>
      </c>
      <c r="H31" s="50">
        <v>21</v>
      </c>
      <c r="I31" s="6" t="s">
        <v>89</v>
      </c>
      <c r="J31" s="24">
        <v>349735.4</v>
      </c>
      <c r="K31" s="27">
        <f t="shared" si="0"/>
        <v>0.13573818673430468</v>
      </c>
      <c r="L31" s="24">
        <v>9230</v>
      </c>
      <c r="M31" s="27">
        <f t="shared" si="1"/>
        <v>6.2741705051829961E-3</v>
      </c>
      <c r="N31" s="29">
        <f t="shared" si="4"/>
        <v>340505.4</v>
      </c>
      <c r="O31" s="27">
        <f t="shared" si="2"/>
        <v>6.6882921446008756E-2</v>
      </c>
      <c r="P31" s="27">
        <f t="shared" si="3"/>
        <v>7.1611793152555989E-2</v>
      </c>
      <c r="Q31" s="6">
        <v>3.4</v>
      </c>
      <c r="R31" s="40">
        <v>3.4</v>
      </c>
      <c r="T31" s="6">
        <f>T30+1</f>
        <v>25</v>
      </c>
      <c r="U31" s="6" t="s">
        <v>89</v>
      </c>
      <c r="V31" s="30" t="s">
        <v>90</v>
      </c>
      <c r="W31" s="32">
        <v>0</v>
      </c>
      <c r="X31" s="32">
        <v>100</v>
      </c>
      <c r="Y31" s="32">
        <v>0</v>
      </c>
      <c r="Z31" s="32">
        <v>351681.13</v>
      </c>
      <c r="AA31" s="32">
        <v>706.85</v>
      </c>
      <c r="AB31" s="32">
        <f t="shared" si="5"/>
        <v>0.20099173361960024</v>
      </c>
      <c r="AC31" s="41">
        <v>0.20680000000000001</v>
      </c>
      <c r="AL31" s="51"/>
      <c r="AM31" s="37"/>
      <c r="AN31" s="38"/>
    </row>
    <row r="32" spans="1:40" x14ac:dyDescent="0.25">
      <c r="A32" s="52"/>
      <c r="B32" s="53"/>
      <c r="C32" s="32"/>
      <c r="D32" s="54"/>
      <c r="E32" s="54"/>
      <c r="F32" s="54"/>
      <c r="H32" s="50"/>
      <c r="I32" s="6"/>
      <c r="J32" s="24"/>
      <c r="K32" s="27"/>
      <c r="L32" s="24"/>
      <c r="M32" s="27"/>
      <c r="N32" s="29"/>
      <c r="O32" s="27"/>
      <c r="P32" s="27"/>
      <c r="Q32" s="6"/>
      <c r="R32" s="40"/>
      <c r="T32" s="55"/>
      <c r="U32" s="20" t="s">
        <v>37</v>
      </c>
      <c r="V32" s="50"/>
      <c r="W32" s="56"/>
      <c r="X32" s="56"/>
      <c r="Y32" s="56"/>
      <c r="Z32" s="32">
        <f>Z35-Z36</f>
        <v>16898221.070000112</v>
      </c>
      <c r="AA32" s="56"/>
      <c r="AB32" s="56"/>
      <c r="AC32" s="57"/>
      <c r="AL32" s="51"/>
      <c r="AM32" s="37"/>
      <c r="AN32" s="38"/>
    </row>
    <row r="33" spans="1:40" ht="15.75" thickBot="1" x14ac:dyDescent="0.3">
      <c r="A33" s="52"/>
      <c r="B33" s="58" t="s">
        <v>91</v>
      </c>
      <c r="C33" s="7"/>
      <c r="D33" s="59">
        <f>SUM(D7:D31)</f>
        <v>491093875.06999987</v>
      </c>
      <c r="E33" s="60">
        <f>SUM(E7:E31)</f>
        <v>209321</v>
      </c>
      <c r="F33" s="61">
        <f>SUM(F7:F31)</f>
        <v>357.43999999999994</v>
      </c>
      <c r="H33" s="6"/>
      <c r="I33" s="7" t="s">
        <v>91</v>
      </c>
      <c r="J33" s="24">
        <f t="shared" ref="J33:Q33" si="7">SUM(J7:J31)</f>
        <v>257654392.19000003</v>
      </c>
      <c r="K33" s="24">
        <f t="shared" si="7"/>
        <v>99.999999999999986</v>
      </c>
      <c r="L33" s="24">
        <f t="shared" si="7"/>
        <v>147111080.13999999</v>
      </c>
      <c r="M33" s="27">
        <f t="shared" si="7"/>
        <v>100.00000000000001</v>
      </c>
      <c r="N33" s="29">
        <f t="shared" si="7"/>
        <v>110543312.05000003</v>
      </c>
      <c r="O33" s="27">
        <f t="shared" si="7"/>
        <v>100</v>
      </c>
      <c r="P33" s="29">
        <f t="shared" si="7"/>
        <v>100.00000000000003</v>
      </c>
      <c r="Q33" s="6">
        <f t="shared" si="7"/>
        <v>373.02999999999992</v>
      </c>
      <c r="R33" s="7"/>
      <c r="T33" s="62"/>
      <c r="U33" s="63" t="s">
        <v>91</v>
      </c>
      <c r="V33" s="64"/>
      <c r="W33" s="65">
        <f>SUM(W7:W31)</f>
        <v>798.55000000000007</v>
      </c>
      <c r="X33" s="66">
        <f>SUM(X7:X31)</f>
        <v>1700.93</v>
      </c>
      <c r="Y33" s="65">
        <f>SUM(Y7:Y31)</f>
        <v>12.06</v>
      </c>
      <c r="Z33" s="66">
        <f>SUM(Z7:Z32)</f>
        <v>527979203</v>
      </c>
      <c r="AA33" s="66">
        <f>SUM(AA7:AA31)</f>
        <v>17999289.720000006</v>
      </c>
      <c r="AB33" s="66">
        <f>SUM(AB7:AB31)</f>
        <v>75.059826385257082</v>
      </c>
      <c r="AC33" s="67">
        <f>SUM(AC7:AC31)</f>
        <v>33.081421800000001</v>
      </c>
      <c r="AL33" s="38"/>
      <c r="AM33" s="37"/>
      <c r="AN33" s="38"/>
    </row>
    <row r="34" spans="1:40" ht="15.75" thickTop="1" x14ac:dyDescent="0.25">
      <c r="D34" s="68"/>
      <c r="U34" s="1" t="s">
        <v>92</v>
      </c>
      <c r="AL34" s="38"/>
      <c r="AM34" s="37"/>
      <c r="AN34" s="38"/>
    </row>
    <row r="35" spans="1:40" x14ac:dyDescent="0.25">
      <c r="B35" s="69"/>
      <c r="C35" s="69"/>
      <c r="D35" s="70"/>
      <c r="G35" s="71"/>
      <c r="Z35" s="72">
        <v>527979203</v>
      </c>
      <c r="AL35" s="70"/>
      <c r="AM35" s="37"/>
      <c r="AN35" s="70"/>
    </row>
    <row r="36" spans="1:40" x14ac:dyDescent="0.25">
      <c r="B36" s="69"/>
      <c r="C36" s="69"/>
      <c r="D36" s="70"/>
      <c r="G36" s="71"/>
      <c r="Z36" s="72">
        <v>511080981.92999989</v>
      </c>
      <c r="AL36" s="70"/>
      <c r="AM36" s="37"/>
      <c r="AN36" s="70"/>
    </row>
    <row r="37" spans="1:40" ht="18.75" x14ac:dyDescent="0.3">
      <c r="B37" s="2" t="s">
        <v>143</v>
      </c>
      <c r="C37" s="2"/>
      <c r="D37" s="3"/>
      <c r="E37" s="3"/>
      <c r="F37" s="3"/>
      <c r="G37" s="3"/>
      <c r="I37" s="2" t="s">
        <v>145</v>
      </c>
      <c r="J37" s="2"/>
      <c r="K37" s="3"/>
      <c r="L37" s="3"/>
      <c r="M37" s="3"/>
      <c r="N37" s="3"/>
      <c r="U37" s="2" t="s">
        <v>144</v>
      </c>
      <c r="V37" s="2"/>
      <c r="W37" s="3"/>
      <c r="X37" s="3"/>
      <c r="Y37" s="3"/>
      <c r="Z37" s="3"/>
      <c r="AL37" s="70"/>
      <c r="AM37" s="37"/>
      <c r="AN37" s="70"/>
    </row>
    <row r="38" spans="1:40" ht="15.75" thickBot="1" x14ac:dyDescent="0.3">
      <c r="B38" s="69"/>
      <c r="C38" s="69"/>
      <c r="D38" s="70"/>
      <c r="G38" s="73"/>
      <c r="AL38" s="39"/>
      <c r="AM38" s="37"/>
      <c r="AN38" s="70"/>
    </row>
    <row r="39" spans="1:40" ht="15.75" thickBot="1" x14ac:dyDescent="0.3">
      <c r="A39" s="6"/>
      <c r="B39" s="7"/>
      <c r="C39" s="13"/>
      <c r="D39" s="7"/>
      <c r="E39" s="7" t="s">
        <v>12</v>
      </c>
      <c r="F39" s="7" t="s">
        <v>13</v>
      </c>
      <c r="G39" s="73"/>
      <c r="H39" s="6"/>
      <c r="I39" s="7"/>
      <c r="J39" s="7"/>
      <c r="K39" s="7"/>
      <c r="L39" s="7"/>
      <c r="M39" s="7"/>
      <c r="N39" s="7"/>
      <c r="O39" s="7" t="s">
        <v>4</v>
      </c>
      <c r="P39" s="7" t="s">
        <v>4</v>
      </c>
      <c r="Q39" s="7"/>
      <c r="R39" s="7" t="s">
        <v>6</v>
      </c>
      <c r="T39" s="9"/>
      <c r="U39" s="6"/>
      <c r="V39" s="10"/>
      <c r="W39" s="74"/>
      <c r="X39" s="75" t="s">
        <v>93</v>
      </c>
      <c r="Y39" s="76"/>
      <c r="Z39" s="13"/>
      <c r="AA39" s="6"/>
      <c r="AB39" s="6"/>
      <c r="AC39" s="6"/>
      <c r="AL39" s="70"/>
      <c r="AM39" s="37"/>
      <c r="AN39" s="69"/>
    </row>
    <row r="40" spans="1:40" x14ac:dyDescent="0.25">
      <c r="A40" s="6"/>
      <c r="B40" s="7" t="s">
        <v>94</v>
      </c>
      <c r="C40" s="13"/>
      <c r="D40" s="7" t="s">
        <v>11</v>
      </c>
      <c r="E40" s="7" t="s">
        <v>25</v>
      </c>
      <c r="F40" s="7" t="s">
        <v>95</v>
      </c>
      <c r="G40" s="73"/>
      <c r="H40" s="77"/>
      <c r="I40" s="7"/>
      <c r="J40" s="7" t="s">
        <v>96</v>
      </c>
      <c r="K40" s="7" t="s">
        <v>2</v>
      </c>
      <c r="L40" s="7" t="s">
        <v>97</v>
      </c>
      <c r="M40" s="7" t="s">
        <v>98</v>
      </c>
      <c r="N40" s="7" t="s">
        <v>99</v>
      </c>
      <c r="O40" s="18" t="s">
        <v>100</v>
      </c>
      <c r="P40" s="7" t="s">
        <v>20</v>
      </c>
      <c r="Q40" s="7" t="s">
        <v>21</v>
      </c>
      <c r="R40" s="78" t="s">
        <v>22</v>
      </c>
      <c r="T40" s="9"/>
      <c r="U40" s="6"/>
      <c r="V40" s="58"/>
      <c r="W40" s="19"/>
      <c r="X40" s="19"/>
      <c r="Y40" s="19"/>
      <c r="Z40" s="7"/>
      <c r="AA40" s="7"/>
      <c r="AB40" s="7" t="s">
        <v>101</v>
      </c>
      <c r="AC40" s="7" t="s">
        <v>24</v>
      </c>
      <c r="AL40" s="70"/>
      <c r="AM40" s="37"/>
      <c r="AN40" s="70"/>
    </row>
    <row r="41" spans="1:40" x14ac:dyDescent="0.25">
      <c r="A41" s="6"/>
      <c r="B41" s="6"/>
      <c r="C41" s="79" t="s">
        <v>10</v>
      </c>
      <c r="D41" s="24"/>
      <c r="E41" s="6"/>
      <c r="F41" s="6"/>
      <c r="G41" s="73"/>
      <c r="H41" s="77"/>
      <c r="I41" s="80" t="s">
        <v>94</v>
      </c>
      <c r="J41" s="7" t="s">
        <v>102</v>
      </c>
      <c r="K41" s="7" t="s">
        <v>103</v>
      </c>
      <c r="L41" s="7" t="s">
        <v>28</v>
      </c>
      <c r="M41" s="7" t="s">
        <v>104</v>
      </c>
      <c r="N41" s="7" t="s">
        <v>28</v>
      </c>
      <c r="O41" s="18" t="s">
        <v>105</v>
      </c>
      <c r="P41" s="18" t="s">
        <v>106</v>
      </c>
      <c r="Q41" s="18" t="s">
        <v>32</v>
      </c>
      <c r="R41" s="18">
        <v>2014</v>
      </c>
      <c r="T41" s="9"/>
      <c r="U41" s="6"/>
      <c r="V41" s="18" t="s">
        <v>34</v>
      </c>
      <c r="W41" s="18" t="s">
        <v>35</v>
      </c>
      <c r="X41" s="18" t="s">
        <v>36</v>
      </c>
      <c r="Y41" s="18" t="s">
        <v>37</v>
      </c>
      <c r="Z41" s="18" t="s">
        <v>38</v>
      </c>
      <c r="AA41" s="18" t="s">
        <v>39</v>
      </c>
      <c r="AB41" s="18" t="s">
        <v>40</v>
      </c>
      <c r="AC41" s="18" t="s">
        <v>41</v>
      </c>
      <c r="AL41" s="70"/>
      <c r="AM41" s="37"/>
      <c r="AN41" s="70"/>
    </row>
    <row r="42" spans="1:40" x14ac:dyDescent="0.25">
      <c r="A42" s="6">
        <v>1</v>
      </c>
      <c r="B42" s="30" t="s">
        <v>107</v>
      </c>
      <c r="C42" s="81" t="s">
        <v>60</v>
      </c>
      <c r="D42" s="32">
        <v>37358635.909999996</v>
      </c>
      <c r="E42" s="32">
        <v>7976</v>
      </c>
      <c r="F42" s="30">
        <v>27.3</v>
      </c>
      <c r="G42" s="73"/>
      <c r="H42" s="77">
        <v>1</v>
      </c>
      <c r="I42" s="30" t="s">
        <v>108</v>
      </c>
      <c r="J42" s="32">
        <v>33627420.909999996</v>
      </c>
      <c r="K42" s="32">
        <f t="shared" ref="K42:K56" si="8">J42/$J$58*100</f>
        <v>22.387641498410844</v>
      </c>
      <c r="L42" s="32">
        <v>10434654.27</v>
      </c>
      <c r="M42" s="32">
        <f t="shared" ref="M42:M56" si="9">L42/$L$58*100</f>
        <v>10.696185781176231</v>
      </c>
      <c r="N42" s="43">
        <f>J42-L42</f>
        <v>23192766.639999997</v>
      </c>
      <c r="O42" s="24">
        <f t="shared" ref="O42:O56" si="10">E42/$E$58*100</f>
        <v>15.198749952360991</v>
      </c>
      <c r="P42" s="24">
        <f t="shared" ref="P42:P49" si="11">D42/$D$58*100</f>
        <v>18.051023313439472</v>
      </c>
      <c r="Q42" s="30">
        <v>27.3</v>
      </c>
      <c r="R42" s="30">
        <v>23.35</v>
      </c>
      <c r="T42" s="10">
        <v>1</v>
      </c>
      <c r="U42" s="6" t="s">
        <v>108</v>
      </c>
      <c r="V42" s="30" t="s">
        <v>109</v>
      </c>
      <c r="W42" s="24">
        <v>0</v>
      </c>
      <c r="X42" s="24">
        <v>100</v>
      </c>
      <c r="Y42" s="24">
        <v>0</v>
      </c>
      <c r="Z42" s="24">
        <v>37358635.909999996</v>
      </c>
      <c r="AA42" s="24">
        <v>474755.39</v>
      </c>
      <c r="AB42" s="24">
        <f>(AA42/Z42)*100</f>
        <v>1.2708049382309474</v>
      </c>
      <c r="AC42" s="82">
        <v>2.1190000000000002</v>
      </c>
      <c r="AL42" s="70"/>
      <c r="AM42" s="37"/>
      <c r="AN42" s="70"/>
    </row>
    <row r="43" spans="1:40" x14ac:dyDescent="0.25">
      <c r="A43" s="6">
        <v>2</v>
      </c>
      <c r="B43" s="30" t="s">
        <v>110</v>
      </c>
      <c r="C43" s="81" t="s">
        <v>111</v>
      </c>
      <c r="D43" s="32">
        <v>337513.91</v>
      </c>
      <c r="E43" s="32">
        <v>578</v>
      </c>
      <c r="F43" s="32">
        <v>14.17</v>
      </c>
      <c r="G43" s="73"/>
      <c r="H43" s="77">
        <v>2</v>
      </c>
      <c r="I43" s="30" t="s">
        <v>110</v>
      </c>
      <c r="J43" s="24">
        <v>120155.97</v>
      </c>
      <c r="K43" s="32">
        <f t="shared" si="8"/>
        <v>7.9994501732776765E-2</v>
      </c>
      <c r="L43" s="24">
        <v>39548.01</v>
      </c>
      <c r="M43" s="32">
        <f t="shared" si="9"/>
        <v>4.0539231228004589E-2</v>
      </c>
      <c r="N43" s="29">
        <f>J43-L43</f>
        <v>80607.959999999992</v>
      </c>
      <c r="O43" s="24">
        <f t="shared" si="10"/>
        <v>1.1014139258355882</v>
      </c>
      <c r="P43" s="24">
        <f t="shared" si="11"/>
        <v>0.16308067223592884</v>
      </c>
      <c r="Q43" s="6">
        <v>14.17</v>
      </c>
      <c r="R43" s="40">
        <v>14.38</v>
      </c>
      <c r="T43" s="10">
        <f>T42+1</f>
        <v>2</v>
      </c>
      <c r="U43" s="6" t="s">
        <v>110</v>
      </c>
      <c r="V43" s="30" t="s">
        <v>112</v>
      </c>
      <c r="W43" s="50">
        <v>4.9800000000000004</v>
      </c>
      <c r="X43" s="50">
        <v>65.5</v>
      </c>
      <c r="Y43" s="5"/>
      <c r="Z43" s="56">
        <v>337513.91</v>
      </c>
      <c r="AA43" s="56">
        <v>13437.85</v>
      </c>
      <c r="AB43" s="24">
        <f>(AA43/Z43)*100</f>
        <v>3.981421091652193</v>
      </c>
      <c r="AC43" s="83">
        <v>0</v>
      </c>
      <c r="AL43" s="70"/>
      <c r="AM43" s="37"/>
      <c r="AN43" s="70"/>
    </row>
    <row r="44" spans="1:40" x14ac:dyDescent="0.25">
      <c r="A44" s="6">
        <v>3</v>
      </c>
      <c r="B44" s="30" t="s">
        <v>113</v>
      </c>
      <c r="C44" s="81" t="s">
        <v>114</v>
      </c>
      <c r="D44" s="32">
        <v>498540.13</v>
      </c>
      <c r="E44" s="32">
        <v>489</v>
      </c>
      <c r="F44" s="30">
        <v>16.03</v>
      </c>
      <c r="G44" s="73"/>
      <c r="H44" s="77">
        <v>3</v>
      </c>
      <c r="I44" s="30" t="s">
        <v>115</v>
      </c>
      <c r="J44" s="32">
        <v>89852.800000000003</v>
      </c>
      <c r="K44" s="32">
        <f t="shared" si="8"/>
        <v>5.9819998667522252E-2</v>
      </c>
      <c r="L44" s="32">
        <v>93453.07</v>
      </c>
      <c r="M44" s="32">
        <f t="shared" si="9"/>
        <v>9.5795353892570045E-2</v>
      </c>
      <c r="N44" s="43">
        <f>J44-L44</f>
        <v>-3600.2700000000041</v>
      </c>
      <c r="O44" s="24">
        <f t="shared" si="10"/>
        <v>0.93181904798201143</v>
      </c>
      <c r="P44" s="24">
        <f t="shared" si="11"/>
        <v>0.24088565575560239</v>
      </c>
      <c r="Q44" s="30">
        <v>16.03</v>
      </c>
      <c r="R44" s="30">
        <v>18.78</v>
      </c>
      <c r="T44" s="10">
        <f t="shared" ref="T44:T56" si="12">T43+1</f>
        <v>3</v>
      </c>
      <c r="U44" s="6" t="s">
        <v>115</v>
      </c>
      <c r="V44" s="30" t="s">
        <v>58</v>
      </c>
      <c r="W44" s="24">
        <v>8.93</v>
      </c>
      <c r="X44" s="24">
        <f>100-W44</f>
        <v>91.07</v>
      </c>
      <c r="Y44" s="24"/>
      <c r="Z44" s="24">
        <v>498540.13</v>
      </c>
      <c r="AA44" s="24">
        <v>26854</v>
      </c>
      <c r="AB44" s="24">
        <f>(AA44/Z44)*100</f>
        <v>5.3865272590994824</v>
      </c>
      <c r="AC44" s="82"/>
      <c r="AH44" s="84"/>
    </row>
    <row r="45" spans="1:40" x14ac:dyDescent="0.25">
      <c r="A45" s="6">
        <v>4</v>
      </c>
      <c r="B45" s="30" t="s">
        <v>116</v>
      </c>
      <c r="C45" s="81" t="s">
        <v>117</v>
      </c>
      <c r="D45" s="45">
        <v>6833091.2300000004</v>
      </c>
      <c r="E45" s="30">
        <v>3471</v>
      </c>
      <c r="F45" s="33">
        <v>10.199999999999999</v>
      </c>
      <c r="G45" s="73"/>
      <c r="H45" s="77">
        <v>4</v>
      </c>
      <c r="I45" s="30" t="s">
        <v>116</v>
      </c>
      <c r="J45" s="32">
        <v>43760993.340000004</v>
      </c>
      <c r="K45" s="32">
        <f t="shared" si="8"/>
        <v>29.134123402812719</v>
      </c>
      <c r="L45" s="32">
        <v>151468.46</v>
      </c>
      <c r="M45" s="32">
        <f t="shared" si="9"/>
        <v>0.15526482681909315</v>
      </c>
      <c r="N45" s="43">
        <f>J45-L45</f>
        <v>43609524.880000003</v>
      </c>
      <c r="O45" s="24">
        <f t="shared" si="10"/>
        <v>6.6142002362894932</v>
      </c>
      <c r="P45" s="24">
        <f t="shared" si="11"/>
        <v>3.3016272166022138</v>
      </c>
      <c r="Q45" s="85">
        <v>10.199999999999999</v>
      </c>
      <c r="R45" s="30">
        <v>10.93</v>
      </c>
      <c r="T45" s="10">
        <f t="shared" si="12"/>
        <v>4</v>
      </c>
      <c r="U45" s="6" t="s">
        <v>116</v>
      </c>
      <c r="V45" s="30" t="s">
        <v>118</v>
      </c>
      <c r="W45" s="24">
        <v>47.71</v>
      </c>
      <c r="X45" s="24">
        <f>44.93+7.35</f>
        <v>52.28</v>
      </c>
      <c r="Y45" s="24">
        <f>100-W45-X45</f>
        <v>9.9999999999980105E-3</v>
      </c>
      <c r="Z45" s="24">
        <v>6833091.2300000004</v>
      </c>
      <c r="AA45" s="45">
        <v>3625.75</v>
      </c>
      <c r="AB45" s="24">
        <f>(AA45/Z45)*100</f>
        <v>5.3061636058384654E-2</v>
      </c>
      <c r="AC45" s="82">
        <v>0.2195</v>
      </c>
    </row>
    <row r="46" spans="1:40" x14ac:dyDescent="0.25">
      <c r="A46" s="6">
        <v>5</v>
      </c>
      <c r="B46" s="30" t="s">
        <v>119</v>
      </c>
      <c r="C46" s="81" t="s">
        <v>120</v>
      </c>
      <c r="D46" s="32">
        <v>5177526.67</v>
      </c>
      <c r="E46" s="32">
        <v>3069</v>
      </c>
      <c r="F46" s="33">
        <v>14.49</v>
      </c>
      <c r="G46" s="73"/>
      <c r="H46" s="77">
        <v>5</v>
      </c>
      <c r="I46" s="30" t="s">
        <v>119</v>
      </c>
      <c r="J46" s="32">
        <v>301868.02</v>
      </c>
      <c r="K46" s="32">
        <f t="shared" si="8"/>
        <v>0.20097030425504361</v>
      </c>
      <c r="L46" s="32">
        <v>2015778.57</v>
      </c>
      <c r="M46" s="32">
        <f t="shared" si="9"/>
        <v>2.0663015295507012</v>
      </c>
      <c r="N46" s="43">
        <f>J46-L46</f>
        <v>-1713910.55</v>
      </c>
      <c r="O46" s="24">
        <f t="shared" si="10"/>
        <v>5.8481649453104154</v>
      </c>
      <c r="P46" s="24">
        <f t="shared" si="11"/>
        <v>2.5016880929827465</v>
      </c>
      <c r="Q46" s="85">
        <v>14.49</v>
      </c>
      <c r="R46" s="30">
        <v>8.23</v>
      </c>
      <c r="T46" s="10">
        <f t="shared" si="12"/>
        <v>5</v>
      </c>
      <c r="U46" s="6" t="s">
        <v>119</v>
      </c>
      <c r="V46" s="6" t="s">
        <v>44</v>
      </c>
      <c r="W46" s="24">
        <f>17.05+31.3+5.18</f>
        <v>53.53</v>
      </c>
      <c r="X46" s="24">
        <f>100-W46</f>
        <v>46.47</v>
      </c>
      <c r="Y46" s="24"/>
      <c r="Z46" s="24">
        <v>5177526.67</v>
      </c>
      <c r="AA46" s="24">
        <v>151644</v>
      </c>
      <c r="AB46" s="24">
        <f>(AA46/Z46)*100</f>
        <v>2.9288888240531263</v>
      </c>
      <c r="AC46" s="86">
        <v>0.49370000000000003</v>
      </c>
    </row>
    <row r="47" spans="1:40" x14ac:dyDescent="0.25">
      <c r="A47" s="6">
        <v>6</v>
      </c>
      <c r="B47" s="30" t="s">
        <v>121</v>
      </c>
      <c r="C47" s="81" t="s">
        <v>120</v>
      </c>
      <c r="D47" s="32">
        <v>4384571.24</v>
      </c>
      <c r="E47" s="32">
        <v>1406</v>
      </c>
      <c r="F47" s="33">
        <v>19.86</v>
      </c>
      <c r="G47" s="73"/>
      <c r="H47" s="77">
        <v>6</v>
      </c>
      <c r="I47" s="30" t="s">
        <v>121</v>
      </c>
      <c r="J47" s="32">
        <v>432922.65</v>
      </c>
      <c r="K47" s="32">
        <f t="shared" si="8"/>
        <v>0.28822064917442974</v>
      </c>
      <c r="L47" s="32">
        <v>581892.03</v>
      </c>
      <c r="M47" s="32">
        <f t="shared" si="9"/>
        <v>0.59647642331189321</v>
      </c>
      <c r="N47" s="43">
        <f t="shared" ref="N47:N56" si="13">J47-L47</f>
        <v>-148969.38</v>
      </c>
      <c r="O47" s="24">
        <f t="shared" si="10"/>
        <v>2.6792179580014484</v>
      </c>
      <c r="P47" s="24">
        <f t="shared" si="11"/>
        <v>2.1185462409105456</v>
      </c>
      <c r="Q47" s="85">
        <v>19.86</v>
      </c>
      <c r="R47" s="30">
        <v>12.41</v>
      </c>
      <c r="T47" s="10">
        <f t="shared" si="12"/>
        <v>6</v>
      </c>
      <c r="U47" s="6" t="s">
        <v>121</v>
      </c>
      <c r="V47" s="6" t="s">
        <v>49</v>
      </c>
      <c r="W47" s="24">
        <f>11.4+10.44</f>
        <v>21.84</v>
      </c>
      <c r="X47" s="24">
        <f>100-W47</f>
        <v>78.16</v>
      </c>
      <c r="Y47" s="24">
        <v>0</v>
      </c>
      <c r="Z47" s="24">
        <v>4384571.24</v>
      </c>
      <c r="AA47" s="24">
        <v>137307</v>
      </c>
      <c r="AB47" s="24">
        <f t="shared" ref="AB47:AB56" si="14">(AA47/Z47)*100</f>
        <v>3.1315946870098066</v>
      </c>
      <c r="AC47" s="86">
        <v>1.6613</v>
      </c>
    </row>
    <row r="48" spans="1:40" x14ac:dyDescent="0.25">
      <c r="A48" s="6">
        <v>7</v>
      </c>
      <c r="B48" s="30" t="s">
        <v>122</v>
      </c>
      <c r="C48" s="81" t="s">
        <v>120</v>
      </c>
      <c r="D48" s="32">
        <v>45145610.630000003</v>
      </c>
      <c r="E48" s="32">
        <v>5575</v>
      </c>
      <c r="F48" s="33">
        <v>24.26</v>
      </c>
      <c r="G48" s="73"/>
      <c r="H48" s="77">
        <v>7</v>
      </c>
      <c r="I48" s="30" t="s">
        <v>122</v>
      </c>
      <c r="J48" s="32">
        <v>17935198.949999999</v>
      </c>
      <c r="K48" s="32">
        <f t="shared" si="8"/>
        <v>11.9404579188489</v>
      </c>
      <c r="L48" s="32">
        <v>19346672.190000001</v>
      </c>
      <c r="M48" s="32">
        <f t="shared" si="9"/>
        <v>19.831572243529219</v>
      </c>
      <c r="N48" s="43">
        <f t="shared" si="13"/>
        <v>-1411473.2400000021</v>
      </c>
      <c r="O48" s="24">
        <f t="shared" si="10"/>
        <v>10.62349937116506</v>
      </c>
      <c r="P48" s="24">
        <f t="shared" si="11"/>
        <v>21.813549936480829</v>
      </c>
      <c r="Q48" s="85">
        <v>24.26</v>
      </c>
      <c r="R48" s="30">
        <v>23.63</v>
      </c>
      <c r="T48" s="10">
        <f t="shared" si="12"/>
        <v>7</v>
      </c>
      <c r="U48" s="6" t="s">
        <v>122</v>
      </c>
      <c r="V48" s="6" t="s">
        <v>123</v>
      </c>
      <c r="W48" s="24">
        <v>23</v>
      </c>
      <c r="X48" s="24">
        <v>23.44</v>
      </c>
      <c r="Y48" s="24">
        <f>100-X48-W48</f>
        <v>53.56</v>
      </c>
      <c r="Z48" s="24">
        <v>45145610.630000003</v>
      </c>
      <c r="AA48" s="24">
        <v>1239018</v>
      </c>
      <c r="AB48" s="24">
        <f t="shared" si="14"/>
        <v>2.7444927263352863</v>
      </c>
      <c r="AC48" s="86">
        <v>1.9196</v>
      </c>
    </row>
    <row r="49" spans="1:29" x14ac:dyDescent="0.25">
      <c r="A49" s="6">
        <v>8</v>
      </c>
      <c r="B49" s="30" t="s">
        <v>124</v>
      </c>
      <c r="C49" s="81" t="s">
        <v>120</v>
      </c>
      <c r="D49" s="32">
        <v>79155654.090000004</v>
      </c>
      <c r="E49" s="32">
        <v>25774</v>
      </c>
      <c r="F49" s="33">
        <v>25.76</v>
      </c>
      <c r="G49" s="73"/>
      <c r="H49" s="77">
        <v>8</v>
      </c>
      <c r="I49" s="30" t="s">
        <v>124</v>
      </c>
      <c r="J49" s="32">
        <v>36926141.880000003</v>
      </c>
      <c r="K49" s="32">
        <f t="shared" si="8"/>
        <v>24.583783232780036</v>
      </c>
      <c r="L49" s="32">
        <v>28715464.18</v>
      </c>
      <c r="M49" s="32">
        <f t="shared" si="9"/>
        <v>29.435181244581038</v>
      </c>
      <c r="N49" s="43">
        <f t="shared" si="13"/>
        <v>8210677.700000003</v>
      </c>
      <c r="O49" s="24">
        <f t="shared" si="10"/>
        <v>49.113914402225696</v>
      </c>
      <c r="P49" s="24">
        <f t="shared" si="11"/>
        <v>38.24659339306001</v>
      </c>
      <c r="Q49" s="85">
        <v>25.76</v>
      </c>
      <c r="R49" s="30">
        <v>22.38</v>
      </c>
      <c r="T49" s="10">
        <f t="shared" si="12"/>
        <v>8</v>
      </c>
      <c r="U49" s="6" t="s">
        <v>124</v>
      </c>
      <c r="V49" s="6" t="s">
        <v>58</v>
      </c>
      <c r="W49" s="24">
        <f>18.85+7.47+0.28</f>
        <v>26.6</v>
      </c>
      <c r="X49" s="24">
        <f>100-W49</f>
        <v>73.400000000000006</v>
      </c>
      <c r="Y49" s="24"/>
      <c r="Z49" s="24">
        <v>79155654.090000004</v>
      </c>
      <c r="AA49" s="24">
        <v>1528546</v>
      </c>
      <c r="AB49" s="24">
        <f t="shared" si="14"/>
        <v>1.9310635703446311</v>
      </c>
      <c r="AC49" s="86">
        <v>2.4091</v>
      </c>
    </row>
    <row r="50" spans="1:29" x14ac:dyDescent="0.25">
      <c r="A50" s="6">
        <v>9</v>
      </c>
      <c r="B50" s="30" t="s">
        <v>125</v>
      </c>
      <c r="C50" s="81" t="s">
        <v>126</v>
      </c>
      <c r="D50" s="32">
        <v>123863.9</v>
      </c>
      <c r="E50" s="32">
        <f>2+92+94</f>
        <v>188</v>
      </c>
      <c r="F50" s="33">
        <v>11.8</v>
      </c>
      <c r="G50" s="73"/>
      <c r="H50" s="77"/>
      <c r="I50" s="30" t="s">
        <v>125</v>
      </c>
      <c r="J50" s="32">
        <v>109650</v>
      </c>
      <c r="K50" s="32">
        <f t="shared" si="8"/>
        <v>7.3000094086036443E-2</v>
      </c>
      <c r="L50" s="32">
        <v>0</v>
      </c>
      <c r="M50" s="32">
        <f t="shared" si="9"/>
        <v>0</v>
      </c>
      <c r="N50" s="43">
        <f t="shared" si="13"/>
        <v>109650</v>
      </c>
      <c r="O50" s="24">
        <f t="shared" si="10"/>
        <v>0.35824535996036433</v>
      </c>
      <c r="P50" s="24">
        <v>0</v>
      </c>
      <c r="Q50" s="85">
        <v>11.81</v>
      </c>
      <c r="R50" s="30">
        <v>0</v>
      </c>
      <c r="T50" s="10">
        <f t="shared" si="12"/>
        <v>9</v>
      </c>
      <c r="U50" s="30" t="s">
        <v>125</v>
      </c>
      <c r="V50" s="6" t="s">
        <v>58</v>
      </c>
      <c r="W50" s="24">
        <v>0</v>
      </c>
      <c r="X50" s="24">
        <v>100</v>
      </c>
      <c r="Y50" s="24">
        <v>0</v>
      </c>
      <c r="Z50" s="24">
        <v>122879.17</v>
      </c>
      <c r="AA50" s="24">
        <v>984.73</v>
      </c>
      <c r="AB50" s="24">
        <f t="shared" si="14"/>
        <v>0.801380738492944</v>
      </c>
      <c r="AC50" s="86">
        <v>0.1118</v>
      </c>
    </row>
    <row r="51" spans="1:29" x14ac:dyDescent="0.25">
      <c r="A51" s="6">
        <v>10</v>
      </c>
      <c r="B51" s="30" t="s">
        <v>127</v>
      </c>
      <c r="C51" s="81" t="s">
        <v>128</v>
      </c>
      <c r="D51" s="32">
        <v>560588.11</v>
      </c>
      <c r="E51" s="32">
        <v>167</v>
      </c>
      <c r="F51" s="30">
        <v>17.63</v>
      </c>
      <c r="G51" s="73"/>
      <c r="H51" s="77">
        <v>9</v>
      </c>
      <c r="I51" s="30" t="s">
        <v>127</v>
      </c>
      <c r="J51" s="32">
        <v>202508.68</v>
      </c>
      <c r="K51" s="32">
        <f t="shared" si="8"/>
        <v>0.13482127399214816</v>
      </c>
      <c r="L51" s="32">
        <v>253285.31</v>
      </c>
      <c r="M51" s="32">
        <f t="shared" si="9"/>
        <v>0.25963358835872707</v>
      </c>
      <c r="N51" s="43">
        <f t="shared" si="13"/>
        <v>-50776.630000000005</v>
      </c>
      <c r="O51" s="24">
        <f t="shared" si="10"/>
        <v>0.31822859102862155</v>
      </c>
      <c r="P51" s="24">
        <f t="shared" ref="P51:P56" si="15">D51/$D$58*100</f>
        <v>0.27086612763980256</v>
      </c>
      <c r="Q51" s="30">
        <v>17.63</v>
      </c>
      <c r="R51" s="30">
        <v>21.14</v>
      </c>
      <c r="T51" s="10">
        <f t="shared" si="12"/>
        <v>10</v>
      </c>
      <c r="U51" s="6" t="s">
        <v>127</v>
      </c>
      <c r="V51" s="6" t="s">
        <v>58</v>
      </c>
      <c r="W51" s="24">
        <f>21.46+1.84</f>
        <v>23.3</v>
      </c>
      <c r="X51" s="24">
        <f>70.69+6.02</f>
        <v>76.709999999999994</v>
      </c>
      <c r="Y51" s="24">
        <v>0</v>
      </c>
      <c r="Z51" s="24">
        <v>560588.11</v>
      </c>
      <c r="AA51" s="24">
        <v>27134.69</v>
      </c>
      <c r="AB51" s="24">
        <f t="shared" si="14"/>
        <v>4.8403969895116044</v>
      </c>
      <c r="AC51" s="82"/>
    </row>
    <row r="52" spans="1:29" x14ac:dyDescent="0.25">
      <c r="A52" s="6">
        <v>11</v>
      </c>
      <c r="B52" s="30" t="s">
        <v>129</v>
      </c>
      <c r="C52" s="81" t="s">
        <v>130</v>
      </c>
      <c r="D52" s="32">
        <v>223252.52</v>
      </c>
      <c r="E52" s="32">
        <f>60+481+541+1</f>
        <v>1083</v>
      </c>
      <c r="F52" s="30">
        <v>22.6</v>
      </c>
      <c r="G52" s="73"/>
      <c r="H52" s="77">
        <v>10</v>
      </c>
      <c r="I52" s="30" t="s">
        <v>131</v>
      </c>
      <c r="J52" s="32">
        <v>224729.43</v>
      </c>
      <c r="K52" s="32">
        <f t="shared" si="8"/>
        <v>0.14961486123029039</v>
      </c>
      <c r="L52" s="47">
        <v>26550410.59</v>
      </c>
      <c r="M52" s="32">
        <f t="shared" si="9"/>
        <v>27.215863304031522</v>
      </c>
      <c r="N52" s="43">
        <f t="shared" si="13"/>
        <v>-26325681.16</v>
      </c>
      <c r="O52" s="24">
        <f t="shared" si="10"/>
        <v>2.0637219406227372</v>
      </c>
      <c r="P52" s="24">
        <f t="shared" si="15"/>
        <v>0.10787161643194249</v>
      </c>
      <c r="Q52" s="30">
        <v>22.6</v>
      </c>
      <c r="R52" s="32">
        <v>0.1</v>
      </c>
      <c r="T52" s="10">
        <f t="shared" si="12"/>
        <v>11</v>
      </c>
      <c r="U52" s="30" t="s">
        <v>132</v>
      </c>
      <c r="V52" s="6" t="s">
        <v>49</v>
      </c>
      <c r="W52" s="45">
        <v>76.66</v>
      </c>
      <c r="X52" s="45">
        <f>100-W52</f>
        <v>23.340000000000003</v>
      </c>
      <c r="Y52" s="45"/>
      <c r="Z52" s="32">
        <v>223252.52</v>
      </c>
      <c r="AA52" s="45">
        <v>112.61</v>
      </c>
      <c r="AB52" s="24">
        <f t="shared" si="14"/>
        <v>5.0440640042943297E-2</v>
      </c>
      <c r="AC52" s="82">
        <v>0.1226</v>
      </c>
    </row>
    <row r="53" spans="1:29" x14ac:dyDescent="0.25">
      <c r="A53" s="6">
        <v>12</v>
      </c>
      <c r="B53" s="30" t="s">
        <v>133</v>
      </c>
      <c r="C53" s="81" t="s">
        <v>128</v>
      </c>
      <c r="D53" s="32">
        <v>896419.14</v>
      </c>
      <c r="E53" s="32">
        <f>10+622</f>
        <v>632</v>
      </c>
      <c r="F53" s="30">
        <v>23.91</v>
      </c>
      <c r="G53" s="73"/>
      <c r="H53" s="77">
        <v>11</v>
      </c>
      <c r="I53" s="30" t="s">
        <v>133</v>
      </c>
      <c r="J53" s="32">
        <v>423542.01</v>
      </c>
      <c r="K53" s="32">
        <f t="shared" si="8"/>
        <v>0.28197543620053794</v>
      </c>
      <c r="L53" s="32">
        <v>305421.33</v>
      </c>
      <c r="M53" s="32">
        <f t="shared" si="9"/>
        <v>0.31307633225628034</v>
      </c>
      <c r="N53" s="43">
        <f t="shared" si="13"/>
        <v>118120.68</v>
      </c>
      <c r="O53" s="24">
        <f t="shared" si="10"/>
        <v>1.204314188802927</v>
      </c>
      <c r="P53" s="24">
        <f t="shared" si="15"/>
        <v>0.4331336624210636</v>
      </c>
      <c r="Q53" s="30">
        <v>23.91</v>
      </c>
      <c r="R53" s="30">
        <v>22.29</v>
      </c>
      <c r="T53" s="10">
        <f t="shared" si="12"/>
        <v>12</v>
      </c>
      <c r="U53" s="6" t="s">
        <v>133</v>
      </c>
      <c r="V53" s="6" t="s">
        <v>58</v>
      </c>
      <c r="W53" s="24">
        <v>10.99</v>
      </c>
      <c r="X53" s="24">
        <f>100-W53</f>
        <v>89.01</v>
      </c>
      <c r="Y53" s="24">
        <v>0</v>
      </c>
      <c r="Z53" s="24">
        <v>896419.14</v>
      </c>
      <c r="AA53" s="24">
        <v>42725.69</v>
      </c>
      <c r="AB53" s="24">
        <f t="shared" si="14"/>
        <v>4.7662625766781375</v>
      </c>
      <c r="AC53" s="82"/>
    </row>
    <row r="54" spans="1:29" x14ac:dyDescent="0.25">
      <c r="A54" s="10">
        <v>13</v>
      </c>
      <c r="B54" s="30" t="s">
        <v>134</v>
      </c>
      <c r="C54" s="30" t="s">
        <v>128</v>
      </c>
      <c r="D54" s="32">
        <v>337860.47</v>
      </c>
      <c r="E54" s="32">
        <v>371</v>
      </c>
      <c r="F54" s="30">
        <v>45.79</v>
      </c>
      <c r="G54" s="73"/>
      <c r="H54" s="77">
        <v>12</v>
      </c>
      <c r="I54" s="30" t="s">
        <v>134</v>
      </c>
      <c r="J54" s="32">
        <v>109362.93</v>
      </c>
      <c r="K54" s="32">
        <f t="shared" si="8"/>
        <v>7.2808975645459337E-2</v>
      </c>
      <c r="L54" s="32">
        <v>3903.02</v>
      </c>
      <c r="M54" s="32">
        <f t="shared" si="9"/>
        <v>4.0008442970335669E-3</v>
      </c>
      <c r="N54" s="43">
        <f t="shared" si="13"/>
        <v>105459.90999999999</v>
      </c>
      <c r="O54" s="24">
        <f t="shared" si="10"/>
        <v>0.70696291779412335</v>
      </c>
      <c r="P54" s="24">
        <f t="shared" si="15"/>
        <v>0.16324812381672468</v>
      </c>
      <c r="Q54" s="30">
        <v>45.79</v>
      </c>
      <c r="R54" s="30">
        <v>22.08</v>
      </c>
      <c r="T54" s="10">
        <f t="shared" si="12"/>
        <v>13</v>
      </c>
      <c r="U54" s="6" t="s">
        <v>134</v>
      </c>
      <c r="V54" s="6" t="s">
        <v>58</v>
      </c>
      <c r="W54" s="24">
        <v>0</v>
      </c>
      <c r="X54" s="24">
        <v>100</v>
      </c>
      <c r="Y54" s="24">
        <v>0</v>
      </c>
      <c r="Z54" s="24">
        <v>337860.47</v>
      </c>
      <c r="AA54" s="24">
        <v>18972.259999999998</v>
      </c>
      <c r="AB54" s="24">
        <f t="shared" si="14"/>
        <v>5.6154127767595892</v>
      </c>
      <c r="AC54" s="82"/>
    </row>
    <row r="55" spans="1:29" x14ac:dyDescent="0.25">
      <c r="A55" s="10">
        <v>14</v>
      </c>
      <c r="B55" s="30" t="s">
        <v>135</v>
      </c>
      <c r="C55" s="30" t="s">
        <v>136</v>
      </c>
      <c r="D55" s="32">
        <v>10701896.130000001</v>
      </c>
      <c r="E55" s="32">
        <v>697</v>
      </c>
      <c r="F55" s="30">
        <v>25.88</v>
      </c>
      <c r="G55" s="73"/>
      <c r="H55" s="77">
        <v>13</v>
      </c>
      <c r="I55" s="30" t="s">
        <v>137</v>
      </c>
      <c r="J55" s="32">
        <v>9369415.6199999992</v>
      </c>
      <c r="K55" s="32">
        <f t="shared" si="8"/>
        <v>6.2377402808133091</v>
      </c>
      <c r="L55" s="32">
        <v>5690137.3700000001</v>
      </c>
      <c r="M55" s="32">
        <f t="shared" si="9"/>
        <v>5.8327535206332746</v>
      </c>
      <c r="N55" s="43">
        <f t="shared" si="13"/>
        <v>3679278.2499999991</v>
      </c>
      <c r="O55" s="24">
        <f t="shared" si="10"/>
        <v>1.3281756164487977</v>
      </c>
      <c r="P55" s="24">
        <f t="shared" si="15"/>
        <v>5.1709644058210396</v>
      </c>
      <c r="Q55" s="30">
        <v>25.88</v>
      </c>
      <c r="R55" s="30">
        <v>22.85</v>
      </c>
      <c r="T55" s="10">
        <f t="shared" si="12"/>
        <v>14</v>
      </c>
      <c r="U55" s="6" t="s">
        <v>137</v>
      </c>
      <c r="V55" s="6" t="s">
        <v>58</v>
      </c>
      <c r="W55" s="24">
        <v>0</v>
      </c>
      <c r="X55" s="24">
        <v>100</v>
      </c>
      <c r="Y55" s="24">
        <v>0</v>
      </c>
      <c r="Z55" s="24">
        <v>10701896.130000001</v>
      </c>
      <c r="AA55" s="24">
        <v>234333.81</v>
      </c>
      <c r="AB55" s="24">
        <f t="shared" si="14"/>
        <v>2.1896475835072411</v>
      </c>
      <c r="AC55" s="86">
        <v>1.9084000000000001</v>
      </c>
    </row>
    <row r="56" spans="1:29" x14ac:dyDescent="0.25">
      <c r="A56" s="10">
        <v>15</v>
      </c>
      <c r="B56" s="30" t="s">
        <v>138</v>
      </c>
      <c r="C56" s="30" t="s">
        <v>136</v>
      </c>
      <c r="D56" s="32">
        <v>15226294.74</v>
      </c>
      <c r="E56" s="32">
        <v>1002</v>
      </c>
      <c r="F56" s="30">
        <v>24.72</v>
      </c>
      <c r="G56" s="37"/>
      <c r="H56" s="77">
        <v>14</v>
      </c>
      <c r="I56" s="30" t="s">
        <v>138</v>
      </c>
      <c r="J56" s="32">
        <v>6571522.6699999999</v>
      </c>
      <c r="K56" s="32">
        <f t="shared" si="8"/>
        <v>4.3750275713499445</v>
      </c>
      <c r="L56" s="32">
        <v>3372820.27</v>
      </c>
      <c r="M56" s="32">
        <f t="shared" si="9"/>
        <v>3.4573557763344067</v>
      </c>
      <c r="N56" s="43">
        <f t="shared" si="13"/>
        <v>3198702.4</v>
      </c>
      <c r="O56" s="24">
        <f t="shared" si="10"/>
        <v>1.9093715461717291</v>
      </c>
      <c r="P56" s="24">
        <f t="shared" si="15"/>
        <v>7.3570727258665798</v>
      </c>
      <c r="Q56" s="30">
        <v>24.72</v>
      </c>
      <c r="R56" s="30">
        <v>23.11</v>
      </c>
      <c r="T56" s="10">
        <f t="shared" si="12"/>
        <v>15</v>
      </c>
      <c r="U56" s="6" t="s">
        <v>138</v>
      </c>
      <c r="V56" s="6" t="s">
        <v>58</v>
      </c>
      <c r="W56" s="24">
        <v>4.53</v>
      </c>
      <c r="X56" s="24">
        <f>100-W56</f>
        <v>95.47</v>
      </c>
      <c r="Y56" s="24">
        <v>0</v>
      </c>
      <c r="Z56" s="24">
        <v>15226294.74</v>
      </c>
      <c r="AA56" s="24">
        <v>294616.33</v>
      </c>
      <c r="AB56" s="24">
        <f t="shared" si="14"/>
        <v>1.9349180810616571</v>
      </c>
      <c r="AC56" s="86">
        <v>2.6263999999999998</v>
      </c>
    </row>
    <row r="57" spans="1:29" x14ac:dyDescent="0.25">
      <c r="A57" s="10"/>
      <c r="B57" s="30"/>
      <c r="C57" s="30"/>
      <c r="D57" s="32"/>
      <c r="E57" s="32"/>
      <c r="F57" s="30"/>
      <c r="G57" s="37"/>
      <c r="H57" s="87"/>
      <c r="I57" s="88"/>
      <c r="J57" s="54"/>
      <c r="K57" s="54"/>
      <c r="L57" s="54"/>
      <c r="M57" s="54"/>
      <c r="N57" s="89"/>
      <c r="O57" s="90"/>
      <c r="P57" s="90"/>
      <c r="Q57" s="88"/>
      <c r="R57" s="88"/>
      <c r="T57" s="91"/>
      <c r="U57" s="92" t="s">
        <v>37</v>
      </c>
      <c r="V57" s="92"/>
      <c r="W57" s="90"/>
      <c r="X57" s="90"/>
      <c r="Y57" s="90"/>
      <c r="Z57" s="90">
        <f>+Z61-Z62</f>
        <v>0</v>
      </c>
      <c r="AA57" s="90"/>
      <c r="AB57" s="90"/>
      <c r="AC57" s="93"/>
    </row>
    <row r="58" spans="1:29" x14ac:dyDescent="0.25">
      <c r="A58" s="6"/>
      <c r="B58" s="7" t="s">
        <v>91</v>
      </c>
      <c r="C58" s="7"/>
      <c r="D58" s="94">
        <f>SUM(D42:D56)</f>
        <v>206961318.82000002</v>
      </c>
      <c r="E58" s="28">
        <f>SUM(E42:E56)</f>
        <v>52478</v>
      </c>
      <c r="F58" s="7">
        <f>SUM(F42:F56)</f>
        <v>324.39999999999998</v>
      </c>
      <c r="H58" s="87"/>
      <c r="I58" s="92" t="s">
        <v>91</v>
      </c>
      <c r="J58" s="95">
        <f t="shared" ref="J58:R58" si="16">SUM(J42:J56)</f>
        <v>150205285.86000001</v>
      </c>
      <c r="K58" s="90">
        <f t="shared" si="16"/>
        <v>100</v>
      </c>
      <c r="L58" s="95">
        <f t="shared" si="16"/>
        <v>97554908.670000002</v>
      </c>
      <c r="M58" s="90">
        <f t="shared" si="16"/>
        <v>100</v>
      </c>
      <c r="N58" s="95">
        <f t="shared" si="16"/>
        <v>52650377.190000013</v>
      </c>
      <c r="O58" s="96">
        <f t="shared" si="16"/>
        <v>100.00000000000001</v>
      </c>
      <c r="P58" s="92">
        <f t="shared" si="16"/>
        <v>99.940151183464508</v>
      </c>
      <c r="Q58" s="92">
        <f t="shared" si="16"/>
        <v>324.40999999999997</v>
      </c>
      <c r="R58" s="92">
        <f t="shared" si="16"/>
        <v>245.65999999999997</v>
      </c>
      <c r="T58" s="92"/>
      <c r="U58" s="92" t="s">
        <v>91</v>
      </c>
      <c r="V58" s="92"/>
      <c r="W58" s="97">
        <f>SUM(W42:W56)</f>
        <v>302.07</v>
      </c>
      <c r="X58" s="97">
        <f>SUM(X42:X56)</f>
        <v>1114.8500000000001</v>
      </c>
      <c r="Y58" s="90">
        <f>SUM(Y42:Y56)</f>
        <v>53.57</v>
      </c>
      <c r="Z58" s="90">
        <f>SUM(Z42:Z57)</f>
        <v>206960334.09</v>
      </c>
      <c r="AA58" s="90">
        <f>SUM(AA42:AA56)</f>
        <v>4194068.11</v>
      </c>
      <c r="AB58" s="90">
        <f>SUM(AB42:AB56)</f>
        <v>41.626314118837975</v>
      </c>
      <c r="AC58" s="93">
        <f>SUM(AC42:AC56)</f>
        <v>13.591400000000002</v>
      </c>
    </row>
    <row r="59" spans="1:29" x14ac:dyDescent="0.25">
      <c r="A59" s="6"/>
      <c r="B59" s="6"/>
      <c r="C59" s="24"/>
      <c r="D59" s="24"/>
      <c r="E59" s="24"/>
      <c r="F59" s="24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x14ac:dyDescent="0.25">
      <c r="A60" s="6"/>
      <c r="B60" s="7" t="s">
        <v>139</v>
      </c>
      <c r="C60" s="28"/>
      <c r="D60" s="28">
        <f>D33+D58</f>
        <v>698055193.88999987</v>
      </c>
      <c r="E60" s="28">
        <f>E33+E58</f>
        <v>261799</v>
      </c>
      <c r="F60" s="28">
        <f>F33+F58</f>
        <v>681.83999999999992</v>
      </c>
      <c r="G60" s="98"/>
      <c r="H60" s="6"/>
      <c r="I60" s="30" t="s">
        <v>139</v>
      </c>
      <c r="J60" s="29">
        <f>J33+J58</f>
        <v>407859678.05000007</v>
      </c>
      <c r="K60" s="29">
        <v>100</v>
      </c>
      <c r="L60" s="29">
        <f t="shared" ref="L60:R60" si="17">L33+L58</f>
        <v>244665988.81</v>
      </c>
      <c r="M60" s="29">
        <f t="shared" si="17"/>
        <v>200</v>
      </c>
      <c r="N60" s="29">
        <f t="shared" si="17"/>
        <v>163193689.24000004</v>
      </c>
      <c r="O60" s="29">
        <f t="shared" si="17"/>
        <v>200</v>
      </c>
      <c r="P60" s="29">
        <f t="shared" si="17"/>
        <v>199.94015118346454</v>
      </c>
      <c r="Q60" s="29">
        <f t="shared" si="17"/>
        <v>697.43999999999983</v>
      </c>
      <c r="R60" s="29">
        <f t="shared" si="17"/>
        <v>245.65999999999997</v>
      </c>
      <c r="T60" s="6"/>
      <c r="U60" s="6" t="s">
        <v>140</v>
      </c>
      <c r="V60" s="7"/>
      <c r="W60" s="94">
        <f>(W33+W58)/35</f>
        <v>31.446285714285718</v>
      </c>
      <c r="X60" s="94">
        <f>(X33+X58)/35</f>
        <v>80.450857142857146</v>
      </c>
      <c r="Y60" s="29">
        <f>(Y33+Y58)/35</f>
        <v>1.875142857142857</v>
      </c>
      <c r="Z60" s="29">
        <f>Z33+Z58</f>
        <v>734939537.09000003</v>
      </c>
      <c r="AA60" s="29">
        <f>AA33+AA58</f>
        <v>22193357.830000006</v>
      </c>
      <c r="AB60" s="29">
        <f>(AB33+AB58)/35</f>
        <v>3.3338897286884301</v>
      </c>
      <c r="AC60" s="29">
        <f>(AC33+AC58)/35</f>
        <v>1.3335091942857142</v>
      </c>
    </row>
    <row r="61" spans="1:29" x14ac:dyDescent="0.25">
      <c r="B61" s="98"/>
      <c r="C61" s="98"/>
      <c r="D61" s="98"/>
      <c r="E61" s="98"/>
      <c r="F61" s="98"/>
      <c r="G61" s="98"/>
      <c r="Z61" s="72"/>
    </row>
    <row r="62" spans="1:29" x14ac:dyDescent="0.25">
      <c r="B62" s="98"/>
      <c r="C62" s="99"/>
      <c r="D62" s="98"/>
      <c r="E62" s="99"/>
      <c r="F62" s="99"/>
      <c r="G62" s="99"/>
      <c r="Z62" s="72"/>
    </row>
    <row r="63" spans="1:29" x14ac:dyDescent="0.25">
      <c r="B63" s="98"/>
      <c r="C63" s="99"/>
      <c r="D63" s="98"/>
      <c r="E63" s="99"/>
      <c r="F63" s="99"/>
      <c r="G63" s="99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29" x14ac:dyDescent="0.25">
      <c r="B64" s="98"/>
      <c r="C64" s="98"/>
      <c r="D64" s="99"/>
      <c r="E64" s="100"/>
      <c r="F64" s="98"/>
      <c r="G64" s="98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27" x14ac:dyDescent="0.25">
      <c r="B65" s="98"/>
      <c r="C65" s="98"/>
      <c r="D65" s="98"/>
      <c r="E65" s="100"/>
      <c r="F65" s="98"/>
      <c r="G65" s="98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U65" s="3"/>
      <c r="V65" s="3"/>
      <c r="W65" s="3"/>
    </row>
    <row r="66" spans="2:27" x14ac:dyDescent="0.25">
      <c r="B66" s="98"/>
      <c r="C66" s="98"/>
      <c r="D66" s="98"/>
      <c r="E66" s="100"/>
      <c r="F66" s="98"/>
      <c r="G66" s="98"/>
    </row>
    <row r="67" spans="2:27" x14ac:dyDescent="0.25">
      <c r="B67" s="98"/>
      <c r="C67" s="98"/>
      <c r="D67" s="98"/>
      <c r="E67" s="100"/>
      <c r="F67" s="100"/>
      <c r="G67" s="98"/>
    </row>
    <row r="68" spans="2:27" x14ac:dyDescent="0.25">
      <c r="B68" s="98"/>
      <c r="C68" s="98"/>
      <c r="D68" s="98"/>
      <c r="E68" s="100"/>
      <c r="F68" s="98"/>
      <c r="G68" s="98"/>
    </row>
    <row r="69" spans="2:27" x14ac:dyDescent="0.25">
      <c r="B69" s="98"/>
      <c r="C69" s="98"/>
      <c r="D69" s="98"/>
      <c r="E69" s="100"/>
      <c r="F69" s="100"/>
      <c r="G69" s="98"/>
    </row>
    <row r="70" spans="2:27" x14ac:dyDescent="0.25">
      <c r="B70" s="98"/>
      <c r="C70" s="98"/>
      <c r="D70" s="98"/>
      <c r="E70" s="100"/>
      <c r="F70" s="100"/>
      <c r="G70" s="98"/>
    </row>
    <row r="71" spans="2:27" x14ac:dyDescent="0.25">
      <c r="B71" s="98"/>
      <c r="C71" s="98"/>
      <c r="D71" s="98"/>
      <c r="E71" s="100"/>
      <c r="F71" s="100"/>
      <c r="G71" s="98"/>
      <c r="AA71" s="101"/>
    </row>
    <row r="72" spans="2:27" x14ac:dyDescent="0.25">
      <c r="B72" s="98"/>
      <c r="C72" s="98"/>
      <c r="D72" s="98"/>
      <c r="E72" s="100"/>
      <c r="F72" s="100"/>
      <c r="G72" s="98"/>
    </row>
    <row r="73" spans="2:27" x14ac:dyDescent="0.25">
      <c r="B73" s="98"/>
      <c r="C73" s="98"/>
      <c r="D73" s="98"/>
      <c r="E73" s="100"/>
      <c r="F73" s="100"/>
      <c r="G73" s="98"/>
    </row>
    <row r="74" spans="2:27" x14ac:dyDescent="0.25">
      <c r="B74" s="98"/>
      <c r="C74" s="98"/>
      <c r="D74" s="98"/>
      <c r="E74" s="100"/>
      <c r="F74" s="100"/>
      <c r="G74" s="98"/>
    </row>
    <row r="75" spans="2:27" x14ac:dyDescent="0.25">
      <c r="B75" s="98"/>
      <c r="C75" s="98"/>
      <c r="D75" s="98"/>
      <c r="E75" s="100"/>
      <c r="F75" s="100"/>
      <c r="G75" s="98"/>
    </row>
    <row r="76" spans="2:27" x14ac:dyDescent="0.25">
      <c r="B76" s="98"/>
      <c r="C76" s="98"/>
      <c r="D76" s="98"/>
      <c r="E76" s="100"/>
      <c r="F76" s="100"/>
      <c r="G76" s="98"/>
    </row>
    <row r="77" spans="2:27" x14ac:dyDescent="0.25">
      <c r="B77" s="98"/>
      <c r="C77" s="98"/>
      <c r="D77" s="98"/>
      <c r="E77" s="100"/>
      <c r="F77" s="100"/>
      <c r="G77" s="98"/>
    </row>
    <row r="78" spans="2:27" x14ac:dyDescent="0.25">
      <c r="B78" s="98"/>
      <c r="C78" s="98"/>
      <c r="D78" s="98"/>
      <c r="E78" s="100"/>
      <c r="F78" s="100"/>
      <c r="G78" s="98"/>
    </row>
    <row r="79" spans="2:27" x14ac:dyDescent="0.25">
      <c r="B79" s="98"/>
      <c r="C79" s="98"/>
      <c r="D79" s="98"/>
      <c r="E79" s="102"/>
      <c r="F79" s="98"/>
      <c r="G79" s="98"/>
    </row>
    <row r="88" spans="2:11" x14ac:dyDescent="0.25"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2:11" x14ac:dyDescent="0.25">
      <c r="B89" s="37"/>
      <c r="C89" s="37"/>
      <c r="D89" s="37"/>
      <c r="E89" s="103"/>
      <c r="F89" s="37"/>
      <c r="G89" s="37"/>
      <c r="H89" s="37"/>
      <c r="I89" s="37"/>
      <c r="J89" s="37"/>
      <c r="K89" s="37"/>
    </row>
    <row r="90" spans="2:11" x14ac:dyDescent="0.25">
      <c r="B90" s="37"/>
      <c r="C90" s="37"/>
      <c r="D90" s="71"/>
      <c r="E90" s="71"/>
      <c r="F90" s="71"/>
      <c r="G90" s="71"/>
      <c r="H90" s="71"/>
      <c r="I90" s="71"/>
      <c r="J90" s="71"/>
      <c r="K90" s="71"/>
    </row>
    <row r="91" spans="2:11" x14ac:dyDescent="0.25">
      <c r="B91" s="37"/>
      <c r="C91" s="37"/>
      <c r="D91" s="99"/>
      <c r="E91" s="99"/>
      <c r="F91" s="99"/>
      <c r="G91" s="99"/>
      <c r="H91" s="99"/>
      <c r="I91" s="99"/>
      <c r="J91" s="99"/>
      <c r="K91" s="99"/>
    </row>
    <row r="92" spans="2:11" x14ac:dyDescent="0.25">
      <c r="B92" s="37"/>
      <c r="C92" s="71"/>
      <c r="D92" s="98"/>
      <c r="E92" s="98"/>
      <c r="F92" s="98"/>
      <c r="G92" s="98"/>
      <c r="H92" s="98"/>
      <c r="I92" s="98"/>
      <c r="J92" s="98"/>
      <c r="K92" s="98"/>
    </row>
    <row r="93" spans="2:11" x14ac:dyDescent="0.25">
      <c r="B93" s="37"/>
      <c r="C93" s="37"/>
      <c r="D93" s="98"/>
      <c r="E93" s="98"/>
      <c r="F93" s="98"/>
      <c r="G93" s="98"/>
      <c r="H93" s="100"/>
      <c r="I93" s="100"/>
      <c r="J93" s="102"/>
      <c r="K93" s="98"/>
    </row>
    <row r="94" spans="2:11" x14ac:dyDescent="0.25">
      <c r="B94" s="37"/>
      <c r="C94" s="37"/>
      <c r="D94" s="98"/>
      <c r="E94" s="98"/>
      <c r="F94" s="98"/>
      <c r="G94" s="100"/>
      <c r="H94" s="100"/>
      <c r="I94" s="100"/>
      <c r="J94" s="104"/>
      <c r="K94" s="98"/>
    </row>
    <row r="95" spans="2:11" x14ac:dyDescent="0.25">
      <c r="B95" s="37"/>
      <c r="C95" s="37"/>
      <c r="D95" s="98"/>
      <c r="E95" s="98"/>
      <c r="F95" s="98"/>
      <c r="G95" s="98"/>
      <c r="H95" s="100"/>
      <c r="I95" s="100"/>
      <c r="J95" s="104"/>
      <c r="K95" s="98"/>
    </row>
    <row r="96" spans="2:11" x14ac:dyDescent="0.25">
      <c r="B96" s="37"/>
      <c r="C96" s="37"/>
      <c r="D96" s="98"/>
      <c r="E96" s="98"/>
      <c r="F96" s="98"/>
      <c r="G96" s="98"/>
      <c r="H96" s="100"/>
      <c r="I96" s="100"/>
      <c r="J96" s="104"/>
      <c r="K96" s="98"/>
    </row>
    <row r="97" spans="2:11" x14ac:dyDescent="0.25">
      <c r="B97" s="37"/>
      <c r="C97" s="37"/>
      <c r="D97" s="98"/>
      <c r="E97" s="98"/>
      <c r="F97" s="98"/>
      <c r="G97" s="98"/>
      <c r="H97" s="100"/>
      <c r="I97" s="100"/>
      <c r="J97" s="104"/>
      <c r="K97" s="98"/>
    </row>
    <row r="98" spans="2:11" x14ac:dyDescent="0.25">
      <c r="B98" s="37"/>
      <c r="C98" s="37"/>
      <c r="D98" s="98"/>
      <c r="E98" s="98"/>
      <c r="F98" s="98"/>
      <c r="G98" s="100"/>
      <c r="H98" s="100"/>
      <c r="I98" s="100"/>
      <c r="J98" s="104"/>
      <c r="K98" s="98"/>
    </row>
    <row r="99" spans="2:11" x14ac:dyDescent="0.25">
      <c r="B99" s="37"/>
      <c r="C99" s="37"/>
      <c r="D99" s="98"/>
      <c r="E99" s="98"/>
      <c r="F99" s="98"/>
      <c r="G99" s="98"/>
      <c r="H99" s="100"/>
      <c r="I99" s="100"/>
      <c r="J99" s="104"/>
      <c r="K99" s="98"/>
    </row>
    <row r="100" spans="2:11" x14ac:dyDescent="0.25">
      <c r="B100" s="37"/>
      <c r="C100" s="37"/>
      <c r="D100" s="98"/>
      <c r="E100" s="98"/>
      <c r="F100" s="98"/>
      <c r="G100" s="98"/>
      <c r="H100" s="100"/>
      <c r="I100" s="100"/>
      <c r="J100" s="104"/>
      <c r="K100" s="98"/>
    </row>
    <row r="101" spans="2:11" x14ac:dyDescent="0.25">
      <c r="B101" s="37"/>
      <c r="C101" s="37"/>
      <c r="D101" s="98"/>
      <c r="E101" s="98"/>
      <c r="F101" s="98"/>
      <c r="G101" s="98"/>
      <c r="H101" s="98"/>
      <c r="I101" s="98"/>
      <c r="J101" s="98"/>
      <c r="K101" s="98"/>
    </row>
    <row r="102" spans="2:11" x14ac:dyDescent="0.25">
      <c r="B102" s="37"/>
      <c r="C102" s="37"/>
      <c r="D102" s="98"/>
      <c r="E102" s="98"/>
      <c r="F102" s="98"/>
      <c r="G102" s="98"/>
      <c r="H102" s="100"/>
      <c r="I102" s="100"/>
      <c r="J102" s="104"/>
      <c r="K102" s="98"/>
    </row>
    <row r="103" spans="2:11" x14ac:dyDescent="0.25">
      <c r="B103" s="37"/>
      <c r="C103" s="37"/>
      <c r="D103" s="98"/>
      <c r="E103" s="100"/>
      <c r="F103" s="100"/>
      <c r="G103" s="100"/>
      <c r="H103" s="100"/>
      <c r="I103" s="100"/>
      <c r="J103" s="104"/>
      <c r="K103" s="98"/>
    </row>
    <row r="104" spans="2:11" x14ac:dyDescent="0.25">
      <c r="B104" s="37"/>
      <c r="C104" s="105"/>
      <c r="D104" s="98"/>
      <c r="E104" s="98"/>
      <c r="F104" s="98"/>
      <c r="G104" s="98"/>
      <c r="H104" s="98"/>
      <c r="I104" s="98"/>
      <c r="J104" s="98"/>
      <c r="K104" s="98"/>
    </row>
    <row r="105" spans="2:11" x14ac:dyDescent="0.25">
      <c r="B105" s="37"/>
      <c r="C105" s="37"/>
      <c r="D105" s="98"/>
      <c r="E105" s="98"/>
      <c r="F105" s="98"/>
      <c r="G105" s="98"/>
      <c r="H105" s="100"/>
      <c r="I105" s="100"/>
      <c r="J105" s="104"/>
      <c r="K105" s="98"/>
    </row>
    <row r="106" spans="2:11" x14ac:dyDescent="0.25">
      <c r="B106" s="37"/>
      <c r="C106" s="37"/>
      <c r="D106" s="98"/>
      <c r="E106" s="98"/>
      <c r="F106" s="98"/>
      <c r="G106" s="98"/>
      <c r="H106" s="100"/>
      <c r="I106" s="100"/>
      <c r="J106" s="104"/>
      <c r="K106" s="98"/>
    </row>
    <row r="107" spans="2:11" x14ac:dyDescent="0.25">
      <c r="B107" s="37"/>
      <c r="C107" s="37"/>
      <c r="D107" s="98"/>
      <c r="E107" s="98"/>
      <c r="F107" s="98"/>
      <c r="G107" s="98"/>
      <c r="H107" s="100"/>
      <c r="I107" s="100"/>
      <c r="J107" s="104"/>
      <c r="K107" s="98"/>
    </row>
    <row r="108" spans="2:11" x14ac:dyDescent="0.25">
      <c r="B108" s="37"/>
      <c r="C108" s="37"/>
      <c r="D108" s="98"/>
      <c r="E108" s="98"/>
      <c r="F108" s="98"/>
      <c r="G108" s="98"/>
      <c r="H108" s="100"/>
      <c r="I108" s="100"/>
      <c r="J108" s="104"/>
      <c r="K108" s="98"/>
    </row>
    <row r="109" spans="2:11" x14ac:dyDescent="0.25">
      <c r="B109" s="37"/>
      <c r="C109" s="37"/>
      <c r="D109" s="98"/>
      <c r="E109" s="98"/>
      <c r="F109" s="98"/>
      <c r="G109" s="98"/>
      <c r="H109" s="100"/>
      <c r="I109" s="100"/>
      <c r="J109" s="104"/>
      <c r="K109" s="98"/>
    </row>
    <row r="110" spans="2:11" x14ac:dyDescent="0.25">
      <c r="B110" s="37"/>
      <c r="C110" s="37"/>
      <c r="D110" s="98"/>
      <c r="E110" s="98"/>
      <c r="F110" s="98"/>
      <c r="G110" s="98"/>
      <c r="H110" s="98"/>
      <c r="I110" s="98"/>
      <c r="J110" s="98"/>
      <c r="K110" s="98"/>
    </row>
    <row r="111" spans="2:11" x14ac:dyDescent="0.25">
      <c r="B111" s="37"/>
      <c r="C111" s="37"/>
      <c r="D111" s="98"/>
      <c r="E111" s="98"/>
      <c r="F111" s="98"/>
      <c r="G111" s="98"/>
      <c r="H111" s="100"/>
      <c r="I111" s="100"/>
      <c r="J111" s="104"/>
      <c r="K111" s="98"/>
    </row>
    <row r="112" spans="2:11" x14ac:dyDescent="0.25">
      <c r="B112" s="37"/>
      <c r="C112" s="37"/>
      <c r="D112" s="37"/>
      <c r="E112" s="106"/>
      <c r="F112" s="106"/>
      <c r="G112" s="106"/>
      <c r="H112" s="106"/>
      <c r="I112" s="106"/>
      <c r="J112" s="106"/>
      <c r="K112" s="10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waxson Lap5</dc:creator>
  <cp:lastModifiedBy>waxson Lap5</cp:lastModifiedBy>
  <dcterms:created xsi:type="dcterms:W3CDTF">2016-12-30T15:45:10Z</dcterms:created>
  <dcterms:modified xsi:type="dcterms:W3CDTF">2016-12-30T15:53:54Z</dcterms:modified>
</cp:coreProperties>
</file>